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phj2003\Documents\"/>
    </mc:Choice>
  </mc:AlternateContent>
  <xr:revisionPtr revIDLastSave="0" documentId="8_{A84A74B7-8AEB-4C74-9CD8-D61651B2B0F5}" xr6:coauthVersionLast="47" xr6:coauthVersionMax="47" xr10:uidLastSave="{00000000-0000-0000-0000-000000000000}"/>
  <bookViews>
    <workbookView xWindow="20" yWindow="740" windowWidth="19180" windowHeight="11260" xr2:uid="{00000000-000D-0000-FFFF-FFFF00000000}"/>
  </bookViews>
  <sheets>
    <sheet name="0. Instructions" sheetId="11" r:id="rId1"/>
    <sheet name="1. Labor" sheetId="2" r:id="rId2"/>
    <sheet name="2. Start-Up &amp; Time-Dep." sheetId="1" r:id="rId3"/>
    <sheet name="3. Variable" sheetId="10" r:id="rId4"/>
    <sheet name="4. Dashboard"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 l="1"/>
  <c r="D6" i="10"/>
  <c r="D19" i="2"/>
  <c r="D16" i="2"/>
  <c r="G16" i="10"/>
  <c r="F25" i="10"/>
  <c r="G16" i="2"/>
  <c r="G15" i="2"/>
  <c r="G14" i="2"/>
  <c r="G13" i="2"/>
  <c r="F14" i="2"/>
  <c r="G19" i="2"/>
  <c r="E21" i="1" s="1"/>
  <c r="E32" i="1"/>
  <c r="G11" i="2"/>
  <c r="E29" i="1" s="1"/>
  <c r="D42" i="1"/>
  <c r="F23" i="10"/>
  <c r="G23" i="10"/>
  <c r="F22" i="10"/>
  <c r="F21" i="10"/>
  <c r="F19" i="10"/>
  <c r="F20" i="10"/>
  <c r="F18" i="10"/>
  <c r="F15" i="10"/>
  <c r="D4" i="10"/>
  <c r="H15" i="10" s="1"/>
  <c r="H23" i="10" l="1"/>
  <c r="H16" i="10"/>
  <c r="H14" i="2"/>
  <c r="G25" i="10"/>
  <c r="H18" i="10"/>
  <c r="E54" i="1"/>
  <c r="E49" i="1"/>
  <c r="E48" i="1"/>
  <c r="E37" i="1"/>
  <c r="E19" i="1"/>
  <c r="E53" i="1"/>
  <c r="E52" i="1"/>
  <c r="E31" i="1"/>
  <c r="G12" i="2"/>
  <c r="H22" i="10"/>
  <c r="H21" i="10"/>
  <c r="H20" i="10"/>
  <c r="H19" i="10"/>
  <c r="D25" i="1"/>
  <c r="G25" i="1" s="1"/>
  <c r="D24" i="1"/>
  <c r="G24" i="1" s="1"/>
  <c r="D14" i="1"/>
  <c r="D12" i="1"/>
  <c r="D26" i="1"/>
  <c r="G26" i="1" s="1"/>
  <c r="F12" i="2"/>
  <c r="E42" i="1"/>
  <c r="G42" i="1" s="1"/>
  <c r="E6" i="1"/>
  <c r="G6" i="1" s="1"/>
  <c r="E7" i="1"/>
  <c r="G7" i="1" s="1"/>
  <c r="E9" i="1"/>
  <c r="G9" i="1" s="1"/>
  <c r="E8" i="1"/>
  <c r="G8" i="1" s="1"/>
  <c r="F16" i="2"/>
  <c r="H16" i="2" s="1"/>
  <c r="F15" i="2"/>
  <c r="H15" i="2" s="1"/>
  <c r="F19" i="2"/>
  <c r="D18" i="1" s="1"/>
  <c r="G18" i="1" s="1"/>
  <c r="F13" i="2"/>
  <c r="J15" i="10" s="1"/>
  <c r="F11" i="2"/>
  <c r="H11" i="2" s="1"/>
  <c r="D5" i="10" s="1"/>
  <c r="H25" i="10" l="1"/>
  <c r="H12" i="2"/>
  <c r="D30" i="1" s="1"/>
  <c r="D31" i="10"/>
  <c r="J16" i="10"/>
  <c r="K16" i="10" s="1"/>
  <c r="D29" i="10"/>
  <c r="D28" i="10"/>
  <c r="K15" i="10"/>
  <c r="E30" i="1"/>
  <c r="E20" i="1"/>
  <c r="J18" i="10"/>
  <c r="K18" i="10" s="1"/>
  <c r="J19" i="10"/>
  <c r="K19" i="10" s="1"/>
  <c r="J20" i="10"/>
  <c r="K20" i="10" s="1"/>
  <c r="J21" i="10"/>
  <c r="K21" i="10" s="1"/>
  <c r="J22" i="10"/>
  <c r="K22" i="10" s="1"/>
  <c r="J23" i="10"/>
  <c r="K23" i="10" s="1"/>
  <c r="E14" i="1"/>
  <c r="G14" i="1" s="1"/>
  <c r="E13" i="1"/>
  <c r="G13" i="1" s="1"/>
  <c r="E12" i="1"/>
  <c r="G12" i="1" s="1"/>
  <c r="G41" i="1"/>
  <c r="D15" i="4" s="1"/>
  <c r="G5" i="1"/>
  <c r="H19" i="2"/>
  <c r="D31" i="1" s="1"/>
  <c r="D17" i="1"/>
  <c r="G17" i="1" s="1"/>
  <c r="H13" i="2"/>
  <c r="D32" i="1" s="1"/>
  <c r="G32" i="1" s="1"/>
  <c r="D50" i="1"/>
  <c r="G50" i="1" s="1"/>
  <c r="D48" i="1"/>
  <c r="G48" i="1" s="1"/>
  <c r="D49" i="1"/>
  <c r="G49" i="1" s="1"/>
  <c r="D19" i="1"/>
  <c r="G19" i="1" s="1"/>
  <c r="D29" i="1"/>
  <c r="G29" i="1" s="1"/>
  <c r="D37" i="1"/>
  <c r="G37" i="1" s="1"/>
  <c r="G34" i="1" s="1"/>
  <c r="D11" i="4" s="1"/>
  <c r="D20" i="1" l="1"/>
  <c r="D30" i="10"/>
  <c r="G30" i="1"/>
  <c r="G20" i="1"/>
  <c r="K25" i="10"/>
  <c r="K2" i="10" s="1"/>
  <c r="J25" i="10"/>
  <c r="D21" i="4"/>
  <c r="D5" i="4"/>
  <c r="D52" i="1"/>
  <c r="G52" i="1" s="1"/>
  <c r="D54" i="1"/>
  <c r="G54" i="1" s="1"/>
  <c r="D53" i="1"/>
  <c r="G53" i="1" s="1"/>
  <c r="D21" i="1"/>
  <c r="G21" i="1" s="1"/>
  <c r="G11" i="1" s="1"/>
  <c r="G31" i="1"/>
  <c r="G47" i="1"/>
  <c r="G23" i="1" l="1"/>
  <c r="D19" i="4"/>
  <c r="D9" i="4"/>
  <c r="D7" i="4"/>
  <c r="G51" i="1"/>
  <c r="D3" i="4" l="1"/>
  <c r="G2" i="1"/>
  <c r="D17" i="4"/>
  <c r="D13" i="4" s="1"/>
  <c r="D24" i="4" s="1"/>
  <c r="G39" i="1"/>
  <c r="D26" i="4" l="1"/>
  <c r="D30" i="4" l="1"/>
  <c r="D29" i="4"/>
</calcChain>
</file>

<file path=xl/sharedStrings.xml><?xml version="1.0" encoding="utf-8"?>
<sst xmlns="http://schemas.openxmlformats.org/spreadsheetml/2006/main" count="160" uniqueCount="117">
  <si>
    <t>Resource Category</t>
  </si>
  <si>
    <t>Totals</t>
  </si>
  <si>
    <t>Start Up Costs</t>
  </si>
  <si>
    <t>NCM Office Supplies</t>
  </si>
  <si>
    <t>Boston Training</t>
  </si>
  <si>
    <t>Local Site Visit Training</t>
  </si>
  <si>
    <t>Other Training</t>
  </si>
  <si>
    <t>Time Dependent Costs (Annual)</t>
  </si>
  <si>
    <t>Office Space</t>
  </si>
  <si>
    <t>Technical Assistance</t>
  </si>
  <si>
    <t>Variable Costs (Annual)</t>
  </si>
  <si>
    <t>MA Model-related Work</t>
  </si>
  <si>
    <t>Implementation Cost</t>
  </si>
  <si>
    <t>Sustainment Cost</t>
  </si>
  <si>
    <t>Cost per patient</t>
  </si>
  <si>
    <t>Labor Inputs</t>
  </si>
  <si>
    <t>Who will be your onsite prescribing provider? (click to select from drop down)</t>
  </si>
  <si>
    <t>Physician</t>
  </si>
  <si>
    <t>How many prescribing providers will your site have?</t>
  </si>
  <si>
    <t>What is your target monthly patient caseload?</t>
  </si>
  <si>
    <t>Annual Salary</t>
  </si>
  <si>
    <t>Rate</t>
  </si>
  <si>
    <t>Adjusted Annual Salary</t>
  </si>
  <si>
    <t>FTE</t>
  </si>
  <si>
    <t xml:space="preserve">Annual  Cost  </t>
  </si>
  <si>
    <t>Site Staff</t>
  </si>
  <si>
    <t>Nurse Care Manager (RN)</t>
  </si>
  <si>
    <t>Back-up Nurse Care Manager (RN)</t>
  </si>
  <si>
    <t>Pharmacist</t>
  </si>
  <si>
    <t>Physician Assistant</t>
  </si>
  <si>
    <t>Nurse Practioner</t>
  </si>
  <si>
    <t>Technical Assistance Team</t>
  </si>
  <si>
    <t>Nurse Care Manager (NP)</t>
  </si>
  <si>
    <t>Annual salaries are mean salaries from the latest available (May 2023) Bureau of Labor Statistics</t>
  </si>
  <si>
    <t>FTE = Full time equivalent</t>
  </si>
  <si>
    <t>Fixed Costs</t>
  </si>
  <si>
    <t>Unit Cost</t>
  </si>
  <si>
    <t>Unit</t>
  </si>
  <si>
    <t>Duration of Time (months)</t>
  </si>
  <si>
    <t>Total</t>
  </si>
  <si>
    <t>NCM Office</t>
  </si>
  <si>
    <t>Desk</t>
  </si>
  <si>
    <t>NA</t>
  </si>
  <si>
    <t>Phone</t>
  </si>
  <si>
    <t>Computer</t>
  </si>
  <si>
    <t>Other Supplies</t>
  </si>
  <si>
    <t>Lodging*</t>
  </si>
  <si>
    <t>Meals*</t>
  </si>
  <si>
    <t>Roundtrip Airfare*</t>
  </si>
  <si>
    <t>$/hr</t>
  </si>
  <si>
    <t>hrs</t>
  </si>
  <si>
    <t>Training development</t>
  </si>
  <si>
    <t>Manual Customization</t>
  </si>
  <si>
    <t>NCM (Trainee)</t>
  </si>
  <si>
    <t>Back-up NCM</t>
  </si>
  <si>
    <t>NCM (TA Team)</t>
  </si>
  <si>
    <t>Prescribing Providers</t>
  </si>
  <si>
    <t>Other Trainings</t>
  </si>
  <si>
    <t>NCM-led Staff Training</t>
  </si>
  <si>
    <t>Time-dependent Cost Inputs</t>
  </si>
  <si>
    <t>$/mo</t>
  </si>
  <si>
    <t>Months</t>
  </si>
  <si>
    <t>Space</t>
  </si>
  <si>
    <t>hrs/mo</t>
  </si>
  <si>
    <t>NCM (Trainee) Time</t>
  </si>
  <si>
    <t>Scheduled TA weekly call time</t>
  </si>
  <si>
    <t>Scheduled TA weekly call preperation time</t>
  </si>
  <si>
    <t>Ad-hoc call time</t>
  </si>
  <si>
    <t>NCM (TA Team) Time</t>
  </si>
  <si>
    <t>Scheduled weekly call preperation time</t>
  </si>
  <si>
    <t>*Federal reimbursement rates were used</t>
  </si>
  <si>
    <t>Variable Cost Inputs</t>
  </si>
  <si>
    <t>Target Patient Caseload (from Labor tab)</t>
  </si>
  <si>
    <t>NCM $/hr (calculated from labor tab)</t>
  </si>
  <si>
    <t>Prescribing Provider $/hr (calculated from labor tab)</t>
  </si>
  <si>
    <t>What is your expected percentage of new patients per month?</t>
  </si>
  <si>
    <t>How many months between each follow-up visit with prescribing provider?</t>
  </si>
  <si>
    <t>MA Model-related Work Inputs</t>
  </si>
  <si>
    <t>Time (hours)</t>
  </si>
  <si>
    <t>Costs</t>
  </si>
  <si>
    <t>Month 1</t>
  </si>
  <si>
    <t>Month 2 +</t>
  </si>
  <si>
    <t>Total time, per month</t>
  </si>
  <si>
    <t>Monthly</t>
  </si>
  <si>
    <t>Annual</t>
  </si>
  <si>
    <t>Prescribing Provider</t>
  </si>
  <si>
    <t>Initial visit, per patient</t>
  </si>
  <si>
    <t>Follow-up visit, per patient</t>
  </si>
  <si>
    <t>NCM</t>
  </si>
  <si>
    <t>initial visit, per patient</t>
  </si>
  <si>
    <t>Induction, including observation time, per patient</t>
  </si>
  <si>
    <t>Additional face time with patients, per patient</t>
  </si>
  <si>
    <t>Additional phone time with patients, per week</t>
  </si>
  <si>
    <t>Patient Navigation (e.g. prior auth, connecting to services), per week</t>
  </si>
  <si>
    <t>Annual hours</t>
  </si>
  <si>
    <t>Annual hours per new patient</t>
  </si>
  <si>
    <t>Annual hours per existing patient</t>
  </si>
  <si>
    <t>Annual hours for NCM</t>
  </si>
  <si>
    <t>Annual hours for prescribing provider</t>
  </si>
  <si>
    <t>Step 1:</t>
  </si>
  <si>
    <t>Step 2:</t>
  </si>
  <si>
    <t>Step 3:</t>
  </si>
  <si>
    <t>Step 4:</t>
  </si>
  <si>
    <t>This tool was created alongside the following open access publication:</t>
  </si>
  <si>
    <t>If you have questions, contact:</t>
  </si>
  <si>
    <t>contact@cherishresearch.org</t>
  </si>
  <si>
    <t>Jeng PJ, Jalali A, Yeung K, Luce C, Lu T, Lee AK, LaBelle CT, Bradley KA, Murphy SM, PROUD Trial Collaborators. (2026). The Cost of Implementing and Sustaining the Massachusetts Model. Am J of Manag Care. 32(4): e110-e117. doi: 10.37765/ajmc.2026.89923</t>
  </si>
  <si>
    <t>https://www.ajmc.com/view/the-cost-of-implementing-and-sustaining-the-massachusetts-model</t>
  </si>
  <si>
    <r>
      <rPr>
        <sz val="11"/>
        <color theme="1"/>
        <rFont val="Calibri"/>
        <family val="2"/>
        <scheme val="minor"/>
      </rPr>
      <t xml:space="preserve">All inputs will be fed into the </t>
    </r>
    <r>
      <rPr>
        <b/>
        <sz val="11"/>
        <color theme="1"/>
        <rFont val="Calibri"/>
        <family val="2"/>
        <scheme val="minor"/>
      </rPr>
      <t xml:space="preserve">4. Dashboard </t>
    </r>
    <r>
      <rPr>
        <sz val="11"/>
        <color theme="1"/>
        <rFont val="Calibri"/>
        <family val="2"/>
        <scheme val="minor"/>
      </rPr>
      <t>tab to calculate Implementation costs (Year 1), Sustainment costs (Year 2+), and per patient cost for both implementation and sustainment phases.</t>
    </r>
  </si>
  <si>
    <r>
      <rPr>
        <b/>
        <sz val="11"/>
        <color theme="1"/>
        <rFont val="Calibri"/>
        <family val="2"/>
        <scheme val="minor"/>
      </rPr>
      <t>Purpose</t>
    </r>
    <r>
      <rPr>
        <sz val="11"/>
        <color theme="1"/>
        <rFont val="Calibri"/>
        <family val="2"/>
        <scheme val="minor"/>
      </rPr>
      <t>: This Microsoft Excel tool can assist end-users in understanding the costs associated with the Massachusetts model of office-based addiction treatment (MA Model).</t>
    </r>
  </si>
  <si>
    <t>Creation and maintenance of this tool is supported in part by:</t>
  </si>
  <si>
    <t>This tool can be modified and additional information can be input. The pre-filled costs shown in this tool are based on the average values across sites in the PRimary Care Opioid Use Disorders Treatment</t>
  </si>
  <si>
    <t>trial (PROUD; NCT03407638). These values do not represent those of any singular study site.</t>
  </si>
  <si>
    <r>
      <t xml:space="preserve">The </t>
    </r>
    <r>
      <rPr>
        <b/>
        <sz val="11"/>
        <color theme="1"/>
        <rFont val="Calibri"/>
        <family val="2"/>
        <scheme val="minor"/>
      </rPr>
      <t xml:space="preserve">2. Start-Up &amp; Time-Dep. </t>
    </r>
    <r>
      <rPr>
        <sz val="11"/>
        <color theme="1"/>
        <rFont val="Calibri"/>
        <family val="2"/>
        <scheme val="minor"/>
      </rPr>
      <t xml:space="preserve">tab lists out the necessary activities needed for the MA model that are one-time costs (Start-up) or recur over time (Time-dependent). Common activities are pre-filled, but you can customize and change the components to your site's needs. When customizing activities, edit only columns D, E, and F, as needed. Pre-filled values are populated based on the </t>
    </r>
    <r>
      <rPr>
        <b/>
        <sz val="11"/>
        <color theme="1"/>
        <rFont val="Calibri"/>
        <family val="2"/>
        <scheme val="minor"/>
      </rPr>
      <t xml:space="preserve">1. Labor </t>
    </r>
    <r>
      <rPr>
        <sz val="11"/>
        <color theme="1"/>
        <rFont val="Calibri"/>
        <family val="2"/>
        <scheme val="minor"/>
      </rPr>
      <t>tab.</t>
    </r>
  </si>
  <si>
    <r>
      <t xml:space="preserve">The </t>
    </r>
    <r>
      <rPr>
        <b/>
        <sz val="11"/>
        <color theme="1"/>
        <rFont val="Calibri"/>
        <family val="2"/>
        <scheme val="minor"/>
      </rPr>
      <t>3. Variable</t>
    </r>
    <r>
      <rPr>
        <sz val="11"/>
        <color theme="1"/>
        <rFont val="Calibri"/>
        <family val="2"/>
        <scheme val="minor"/>
      </rPr>
      <t xml:space="preserve"> tab lists out the necessary activites needed for the MA Model that vary with the number of patients seen. Provide 1) the expected percentage of new patients per month, and 2) the number of months between each follow-up visit with the prescribing provider. Common activities are pre-filled, but you can customize and change the components to your site's needs. When customizing activities, edit only column D as needed. Pre-filled values are populated based on the </t>
    </r>
    <r>
      <rPr>
        <b/>
        <sz val="11"/>
        <color theme="1"/>
        <rFont val="Calibri"/>
        <family val="2"/>
        <scheme val="minor"/>
      </rPr>
      <t xml:space="preserve">1. Labor </t>
    </r>
    <r>
      <rPr>
        <sz val="11"/>
        <color theme="1"/>
        <rFont val="Calibri"/>
        <family val="2"/>
        <scheme val="minor"/>
      </rPr>
      <t>tab.</t>
    </r>
  </si>
  <si>
    <r>
      <t xml:space="preserve">The </t>
    </r>
    <r>
      <rPr>
        <b/>
        <sz val="11"/>
        <color theme="1"/>
        <rFont val="Calibri"/>
        <family val="2"/>
        <scheme val="minor"/>
      </rPr>
      <t>1. Labor</t>
    </r>
    <r>
      <rPr>
        <sz val="11"/>
        <color theme="1"/>
        <rFont val="Calibri"/>
        <family val="2"/>
        <scheme val="minor"/>
      </rPr>
      <t xml:space="preserve"> tab provides the salaries for personnel required for the MA Model. Select from the drop down menu who your onsite prescribing provider will be. Then indicate 1) how many prescribing providers will be at your site, and 2) what your target patient caseload will be. Note that the tool does not allow for a prescribing provider mix (i.e., all prescribing providers must be the same provider type). The relevant salaries will update automatically. The pre-filled salaries are pulled from the Bureau of Labor Statistics (May 2023). Add or remove employees or FTE as needed.</t>
    </r>
  </si>
  <si>
    <t>The National Institute on Drug Abuse (NIDA) through grants P30DA040500 and UM1DA049412 and through the following nodes and awards of the NIDA Clinical Trials Network (CTN): Health Systems Node (UG1DA040314), Pacific Northwest Node (U10DA013714), Florida Node Alliance (UG1DA013720), New England Consortium (UG1DA015831), Big South-West Node (UG1DA020024), and New York Node (UG1DA013035).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</si>
</sst>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
    <numFmt numFmtId="165" formatCode="&quot;$&quot;#,##0"/>
    <numFmt numFmtId="166"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b/>
      <sz val="13"/>
      <color theme="1"/>
      <name val="Calibri"/>
      <family val="2"/>
      <scheme val="minor"/>
    </font>
    <font>
      <u/>
      <sz val="13"/>
      <color theme="1"/>
      <name val="Calibri"/>
      <family val="2"/>
      <scheme val="minor"/>
    </font>
    <font>
      <sz val="11"/>
      <color rgb="FFFF0000"/>
      <name val="Calibri"/>
      <family val="2"/>
      <scheme val="minor"/>
    </font>
    <font>
      <b/>
      <i/>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47">
    <border>
      <left/>
      <right/>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right/>
      <top/>
      <bottom style="thin">
        <color rgb="FF000000"/>
      </bottom>
      <diagonal/>
    </border>
    <border>
      <left/>
      <right style="medium">
        <color rgb="FF000000"/>
      </right>
      <top/>
      <bottom style="thin">
        <color indexed="64"/>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diagonal/>
    </border>
    <border>
      <left/>
      <right style="medium">
        <color rgb="FF000000"/>
      </right>
      <top/>
      <bottom style="thin">
        <color rgb="FF000000"/>
      </bottom>
      <diagonal/>
    </border>
    <border>
      <left/>
      <right style="medium">
        <color indexed="64"/>
      </right>
      <top style="medium">
        <color rgb="FF000000"/>
      </top>
      <bottom style="medium">
        <color rgb="FF000000"/>
      </bottom>
      <diagonal/>
    </border>
    <border>
      <left style="medium">
        <color rgb="FF000000"/>
      </left>
      <right style="medium">
        <color rgb="FF000000"/>
      </right>
      <top/>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205">
    <xf numFmtId="0" fontId="0" fillId="0" borderId="0" xfId="0"/>
    <xf numFmtId="0" fontId="0" fillId="2" borderId="0" xfId="0" applyFill="1"/>
    <xf numFmtId="0" fontId="0" fillId="0" borderId="0" xfId="0" applyAlignment="1">
      <alignment horizontal="center"/>
    </xf>
    <xf numFmtId="0" fontId="0" fillId="2" borderId="0" xfId="0" applyFill="1" applyAlignment="1">
      <alignment horizontal="center"/>
    </xf>
    <xf numFmtId="165" fontId="6" fillId="2" borderId="0" xfId="1" applyNumberFormat="1" applyFont="1" applyFill="1" applyBorder="1" applyAlignment="1">
      <alignment horizont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0" fillId="0" borderId="0" xfId="0" applyAlignment="1">
      <alignment wrapText="1"/>
    </xf>
    <xf numFmtId="0" fontId="0" fillId="2" borderId="3"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165" fontId="0" fillId="2" borderId="0" xfId="0" applyNumberFormat="1" applyFill="1" applyAlignment="1">
      <alignment horizontal="center"/>
    </xf>
    <xf numFmtId="0" fontId="5" fillId="2" borderId="0" xfId="0" applyFont="1" applyFill="1" applyAlignment="1">
      <alignment horizontal="center" wrapText="1"/>
    </xf>
    <xf numFmtId="0" fontId="4" fillId="0" borderId="0" xfId="0" applyFont="1" applyAlignment="1">
      <alignment horizontal="center" vertical="center"/>
    </xf>
    <xf numFmtId="0" fontId="3" fillId="2" borderId="10" xfId="0" applyFont="1" applyFill="1" applyBorder="1"/>
    <xf numFmtId="0" fontId="3" fillId="2" borderId="6" xfId="0" applyFont="1" applyFill="1" applyBorder="1"/>
    <xf numFmtId="0" fontId="5" fillId="2" borderId="0" xfId="0" applyFont="1" applyFill="1" applyAlignment="1">
      <alignment horizontal="center" vertical="center"/>
    </xf>
    <xf numFmtId="0" fontId="5" fillId="2" borderId="6" xfId="0" applyFont="1" applyFill="1" applyBorder="1"/>
    <xf numFmtId="0" fontId="4" fillId="2" borderId="6" xfId="0" applyFont="1" applyFill="1" applyBorder="1"/>
    <xf numFmtId="0" fontId="5" fillId="2" borderId="6" xfId="0" applyFont="1" applyFill="1" applyBorder="1" applyAlignment="1">
      <alignment horizontal="left" wrapText="1"/>
    </xf>
    <xf numFmtId="0" fontId="0" fillId="2" borderId="9" xfId="0" applyFill="1" applyBorder="1"/>
    <xf numFmtId="0" fontId="2" fillId="2" borderId="6" xfId="0" applyFont="1" applyFill="1" applyBorder="1"/>
    <xf numFmtId="0" fontId="0" fillId="2" borderId="12" xfId="0" applyFill="1" applyBorder="1"/>
    <xf numFmtId="0" fontId="0" fillId="2" borderId="0" xfId="0" applyFill="1" applyAlignment="1">
      <alignment wrapText="1"/>
    </xf>
    <xf numFmtId="0" fontId="5" fillId="2" borderId="13" xfId="0" applyFont="1" applyFill="1" applyBorder="1" applyAlignment="1">
      <alignment horizontal="center"/>
    </xf>
    <xf numFmtId="0" fontId="0" fillId="2" borderId="6" xfId="0" applyFill="1" applyBorder="1" applyAlignment="1">
      <alignment horizontal="center" wrapText="1"/>
    </xf>
    <xf numFmtId="0" fontId="0" fillId="2" borderId="7" xfId="0" applyFill="1" applyBorder="1" applyAlignment="1">
      <alignment wrapText="1"/>
    </xf>
    <xf numFmtId="0" fontId="5" fillId="2" borderId="6" xfId="0" applyFont="1" applyFill="1" applyBorder="1" applyAlignment="1">
      <alignment horizontal="center"/>
    </xf>
    <xf numFmtId="0" fontId="6" fillId="2" borderId="6" xfId="0" applyFont="1" applyFill="1" applyBorder="1" applyAlignment="1">
      <alignment horizontal="right"/>
    </xf>
    <xf numFmtId="0" fontId="6" fillId="2" borderId="0" xfId="0" applyFont="1" applyFill="1"/>
    <xf numFmtId="4" fontId="6" fillId="2" borderId="0" xfId="1" applyNumberFormat="1" applyFont="1" applyFill="1" applyBorder="1" applyAlignment="1">
      <alignment horizontal="center"/>
    </xf>
    <xf numFmtId="165" fontId="0" fillId="2" borderId="0" xfId="1" applyNumberFormat="1" applyFont="1" applyFill="1" applyBorder="1" applyAlignment="1">
      <alignment horizontal="center"/>
    </xf>
    <xf numFmtId="4" fontId="0" fillId="2" borderId="0" xfId="0" applyNumberFormat="1" applyFill="1" applyAlignment="1">
      <alignment horizontal="center"/>
    </xf>
    <xf numFmtId="165" fontId="7" fillId="2" borderId="2" xfId="1" applyNumberFormat="1" applyFont="1" applyFill="1" applyBorder="1" applyAlignment="1">
      <alignment horizontal="center"/>
    </xf>
    <xf numFmtId="0" fontId="7" fillId="2" borderId="2" xfId="0" applyFont="1" applyFill="1" applyBorder="1" applyAlignment="1">
      <alignment horizontal="center"/>
    </xf>
    <xf numFmtId="0" fontId="0" fillId="0" borderId="7" xfId="0" applyBorder="1"/>
    <xf numFmtId="0" fontId="0" fillId="2" borderId="11" xfId="0" applyFill="1" applyBorder="1"/>
    <xf numFmtId="0" fontId="4" fillId="2" borderId="7" xfId="0" applyFont="1" applyFill="1" applyBorder="1"/>
    <xf numFmtId="3" fontId="5" fillId="2" borderId="4"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4" fillId="2" borderId="0" xfId="0" applyNumberFormat="1" applyFont="1" applyFill="1" applyAlignment="1">
      <alignment horizontal="center" vertical="center"/>
    </xf>
    <xf numFmtId="3" fontId="4" fillId="2" borderId="9" xfId="0" applyNumberFormat="1" applyFont="1" applyFill="1" applyBorder="1" applyAlignment="1">
      <alignment horizontal="center" vertical="center"/>
    </xf>
    <xf numFmtId="9" fontId="6" fillId="2" borderId="0" xfId="1" applyNumberFormat="1" applyFont="1" applyFill="1" applyAlignment="1">
      <alignment horizontal="center"/>
    </xf>
    <xf numFmtId="165" fontId="7" fillId="2" borderId="0" xfId="1" applyNumberFormat="1" applyFont="1" applyFill="1" applyBorder="1" applyAlignment="1">
      <alignment horizontal="center"/>
    </xf>
    <xf numFmtId="164" fontId="5" fillId="2" borderId="0" xfId="0" applyNumberFormat="1" applyFont="1" applyFill="1" applyAlignment="1">
      <alignment vertical="center"/>
    </xf>
    <xf numFmtId="0" fontId="5" fillId="2" borderId="6" xfId="0" applyFont="1" applyFill="1" applyBorder="1" applyAlignment="1">
      <alignment horizontal="center" wrapText="1"/>
    </xf>
    <xf numFmtId="6" fontId="0" fillId="0" borderId="0" xfId="0" applyNumberFormat="1"/>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7" fillId="2" borderId="6" xfId="0" applyFont="1" applyFill="1" applyBorder="1" applyAlignment="1">
      <alignment horizontal="left" wrapText="1"/>
    </xf>
    <xf numFmtId="3" fontId="4" fillId="2" borderId="3" xfId="0" applyNumberFormat="1" applyFont="1" applyFill="1" applyBorder="1" applyAlignment="1">
      <alignment horizontal="center" vertical="center"/>
    </xf>
    <xf numFmtId="3" fontId="3" fillId="2" borderId="0" xfId="0" applyNumberFormat="1" applyFont="1" applyFill="1" applyAlignment="1">
      <alignment horizontal="center" vertical="center"/>
    </xf>
    <xf numFmtId="0" fontId="3" fillId="2" borderId="3" xfId="0" applyFont="1" applyFill="1" applyBorder="1"/>
    <xf numFmtId="3" fontId="4" fillId="2" borderId="12"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0" fontId="3" fillId="2" borderId="6" xfId="0" applyFont="1" applyFill="1" applyBorder="1" applyAlignment="1">
      <alignment horizontal="right"/>
    </xf>
    <xf numFmtId="0" fontId="3" fillId="2" borderId="9" xfId="0" applyFont="1" applyFill="1" applyBorder="1" applyAlignment="1">
      <alignment horizontal="right"/>
    </xf>
    <xf numFmtId="2" fontId="0" fillId="0" borderId="0" xfId="0" applyNumberFormat="1"/>
    <xf numFmtId="165" fontId="6" fillId="0" borderId="0" xfId="1" applyNumberFormat="1" applyFont="1" applyFill="1" applyBorder="1" applyAlignment="1">
      <alignment horizontal="center"/>
    </xf>
    <xf numFmtId="9" fontId="0" fillId="2" borderId="0" xfId="1" applyNumberFormat="1" applyFont="1" applyFill="1" applyBorder="1" applyAlignment="1">
      <alignment horizontal="center"/>
    </xf>
    <xf numFmtId="0" fontId="0" fillId="2" borderId="16" xfId="0" applyFill="1" applyBorder="1"/>
    <xf numFmtId="0" fontId="0" fillId="2" borderId="17" xfId="0" applyFill="1" applyBorder="1"/>
    <xf numFmtId="0" fontId="0" fillId="2" borderId="18" xfId="0" applyFill="1" applyBorder="1"/>
    <xf numFmtId="0" fontId="0" fillId="2" borderId="19" xfId="0" applyFill="1" applyBorder="1"/>
    <xf numFmtId="0" fontId="0" fillId="2" borderId="20" xfId="0" applyFill="1" applyBorder="1"/>
    <xf numFmtId="0" fontId="0" fillId="2" borderId="20" xfId="0" applyFill="1" applyBorder="1" applyAlignment="1">
      <alignment horizontal="center"/>
    </xf>
    <xf numFmtId="0" fontId="0" fillId="2" borderId="21" xfId="0" applyFill="1" applyBorder="1"/>
    <xf numFmtId="0" fontId="5" fillId="2" borderId="22" xfId="0" applyFont="1" applyFill="1" applyBorder="1" applyAlignment="1">
      <alignment horizontal="left"/>
    </xf>
    <xf numFmtId="0" fontId="0" fillId="2" borderId="23" xfId="0" applyFill="1" applyBorder="1"/>
    <xf numFmtId="0" fontId="6" fillId="2" borderId="22" xfId="0" applyFont="1" applyFill="1" applyBorder="1" applyAlignment="1">
      <alignment horizontal="right"/>
    </xf>
    <xf numFmtId="0" fontId="4" fillId="2" borderId="22" xfId="0" applyFont="1" applyFill="1" applyBorder="1" applyAlignment="1">
      <alignment horizontal="right"/>
    </xf>
    <xf numFmtId="0" fontId="5" fillId="2" borderId="22" xfId="0" applyFont="1" applyFill="1" applyBorder="1" applyAlignment="1">
      <alignment horizontal="right"/>
    </xf>
    <xf numFmtId="0" fontId="0" fillId="2" borderId="17" xfId="0" applyFill="1" applyBorder="1" applyAlignment="1">
      <alignment horizontal="center"/>
    </xf>
    <xf numFmtId="0" fontId="0" fillId="2" borderId="22" xfId="0" applyFill="1" applyBorder="1"/>
    <xf numFmtId="165" fontId="7" fillId="2" borderId="25" xfId="1" applyNumberFormat="1" applyFont="1" applyFill="1" applyBorder="1" applyAlignment="1">
      <alignment horizontal="center"/>
    </xf>
    <xf numFmtId="0" fontId="7" fillId="2" borderId="25" xfId="0" applyFont="1" applyFill="1" applyBorder="1" applyAlignment="1">
      <alignment horizontal="center"/>
    </xf>
    <xf numFmtId="0" fontId="5" fillId="2" borderId="26" xfId="0" applyFont="1" applyFill="1" applyBorder="1" applyAlignment="1">
      <alignment horizontal="center" vertical="center"/>
    </xf>
    <xf numFmtId="0" fontId="2" fillId="2" borderId="0" xfId="0" applyFont="1" applyFill="1" applyAlignment="1">
      <alignment horizontal="left"/>
    </xf>
    <xf numFmtId="0" fontId="6" fillId="2" borderId="0" xfId="0" applyFont="1" applyFill="1" applyAlignment="1">
      <alignment horizontal="center"/>
    </xf>
    <xf numFmtId="165" fontId="7" fillId="2" borderId="23" xfId="1" applyNumberFormat="1" applyFont="1" applyFill="1" applyBorder="1" applyAlignment="1">
      <alignment horizontal="left"/>
    </xf>
    <xf numFmtId="0" fontId="7" fillId="2" borderId="0" xfId="0" applyFont="1" applyFill="1" applyAlignment="1">
      <alignment horizontal="left"/>
    </xf>
    <xf numFmtId="4" fontId="6" fillId="2" borderId="0" xfId="0" applyNumberFormat="1" applyFont="1" applyFill="1" applyAlignment="1">
      <alignment horizontal="center"/>
    </xf>
    <xf numFmtId="165" fontId="6" fillId="2" borderId="23" xfId="1" applyNumberFormat="1" applyFont="1" applyFill="1" applyBorder="1" applyAlignment="1">
      <alignment horizontal="right"/>
    </xf>
    <xf numFmtId="6" fontId="6" fillId="2" borderId="0" xfId="0" applyNumberFormat="1" applyFont="1" applyFill="1" applyAlignment="1">
      <alignment horizontal="center" vertical="center"/>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2" borderId="23" xfId="0" applyFont="1" applyFill="1" applyBorder="1" applyAlignment="1">
      <alignment horizontal="center" vertical="center"/>
    </xf>
    <xf numFmtId="2" fontId="6" fillId="2" borderId="0" xfId="0" applyNumberFormat="1" applyFont="1" applyFill="1" applyAlignment="1">
      <alignment horizontal="center"/>
    </xf>
    <xf numFmtId="0" fontId="7" fillId="2" borderId="0" xfId="0" applyFont="1" applyFill="1" applyAlignment="1">
      <alignment horizontal="center"/>
    </xf>
    <xf numFmtId="0" fontId="5" fillId="2" borderId="22" xfId="0" applyFont="1" applyFill="1" applyBorder="1" applyAlignment="1">
      <alignment horizontal="left" wrapText="1"/>
    </xf>
    <xf numFmtId="0" fontId="5" fillId="2" borderId="0" xfId="0" applyFont="1" applyFill="1" applyAlignment="1">
      <alignment horizontal="left"/>
    </xf>
    <xf numFmtId="0" fontId="3" fillId="2" borderId="19" xfId="0" applyFont="1" applyFill="1" applyBorder="1"/>
    <xf numFmtId="0" fontId="6" fillId="2" borderId="27" xfId="0" applyFont="1" applyFill="1" applyBorder="1" applyAlignment="1">
      <alignment horizontal="right"/>
    </xf>
    <xf numFmtId="0" fontId="7" fillId="2" borderId="28" xfId="0" applyFont="1" applyFill="1" applyBorder="1" applyAlignment="1">
      <alignment horizontal="left"/>
    </xf>
    <xf numFmtId="165" fontId="6" fillId="2" borderId="28" xfId="1" applyNumberFormat="1" applyFont="1" applyFill="1" applyBorder="1" applyAlignment="1">
      <alignment horizontal="center"/>
    </xf>
    <xf numFmtId="0" fontId="6" fillId="2" borderId="28" xfId="0" applyFont="1" applyFill="1" applyBorder="1" applyAlignment="1">
      <alignment horizontal="center"/>
    </xf>
    <xf numFmtId="165" fontId="6" fillId="2" borderId="24" xfId="1" applyNumberFormat="1" applyFont="1" applyFill="1" applyBorder="1" applyAlignment="1">
      <alignment horizontal="right"/>
    </xf>
    <xf numFmtId="0" fontId="3" fillId="2" borderId="27" xfId="0" applyFont="1" applyFill="1" applyBorder="1" applyAlignment="1">
      <alignment horizontal="left"/>
    </xf>
    <xf numFmtId="0" fontId="5" fillId="2" borderId="28" xfId="0" applyFont="1" applyFill="1" applyBorder="1" applyAlignment="1">
      <alignment horizontal="left"/>
    </xf>
    <xf numFmtId="165" fontId="1" fillId="2" borderId="28" xfId="1" applyNumberFormat="1" applyFont="1" applyFill="1" applyBorder="1" applyAlignment="1">
      <alignment horizontal="center"/>
    </xf>
    <xf numFmtId="0" fontId="1" fillId="2" borderId="28" xfId="0" applyFont="1" applyFill="1" applyBorder="1" applyAlignment="1">
      <alignment horizontal="center"/>
    </xf>
    <xf numFmtId="165" fontId="5" fillId="2" borderId="24" xfId="1" applyNumberFormat="1" applyFont="1" applyFill="1" applyBorder="1" applyAlignment="1">
      <alignment horizontal="right"/>
    </xf>
    <xf numFmtId="165" fontId="5" fillId="2" borderId="21" xfId="0" applyNumberFormat="1" applyFont="1" applyFill="1" applyBorder="1"/>
    <xf numFmtId="0" fontId="1" fillId="2" borderId="0" xfId="0" applyFont="1" applyFill="1" applyAlignment="1">
      <alignment horizontal="center"/>
    </xf>
    <xf numFmtId="164" fontId="0" fillId="2" borderId="0" xfId="0" applyNumberFormat="1" applyFill="1" applyAlignment="1">
      <alignment horizontal="center"/>
    </xf>
    <xf numFmtId="3" fontId="4" fillId="2" borderId="6" xfId="0" applyNumberFormat="1" applyFont="1" applyFill="1" applyBorder="1" applyAlignment="1">
      <alignment horizontal="center" vertical="center"/>
    </xf>
    <xf numFmtId="3" fontId="0" fillId="0" borderId="0" xfId="0" applyNumberFormat="1"/>
    <xf numFmtId="3" fontId="5" fillId="0" borderId="4" xfId="0" applyNumberFormat="1" applyFont="1" applyBorder="1" applyAlignment="1">
      <alignment horizontal="center" vertical="center"/>
    </xf>
    <xf numFmtId="0" fontId="6" fillId="0" borderId="0" xfId="0" applyFont="1" applyAlignment="1">
      <alignment horizontal="center"/>
    </xf>
    <xf numFmtId="0" fontId="6" fillId="3" borderId="0" xfId="0" applyFont="1" applyFill="1" applyAlignment="1">
      <alignment horizontal="center"/>
    </xf>
    <xf numFmtId="0" fontId="5" fillId="3" borderId="22" xfId="0" applyFont="1" applyFill="1" applyBorder="1" applyAlignment="1">
      <alignment horizontal="center"/>
    </xf>
    <xf numFmtId="0" fontId="7" fillId="3" borderId="22" xfId="0" applyFont="1" applyFill="1" applyBorder="1" applyAlignment="1">
      <alignment horizontal="left" wrapText="1"/>
    </xf>
    <xf numFmtId="0" fontId="2" fillId="0" borderId="0" xfId="0" applyFont="1" applyAlignment="1">
      <alignment horizontal="left"/>
    </xf>
    <xf numFmtId="0" fontId="6" fillId="3" borderId="22" xfId="0" applyFont="1" applyFill="1" applyBorder="1"/>
    <xf numFmtId="0" fontId="7" fillId="3" borderId="22" xfId="0" applyFont="1" applyFill="1" applyBorder="1" applyAlignment="1">
      <alignment horizontal="left"/>
    </xf>
    <xf numFmtId="0" fontId="7" fillId="3" borderId="30" xfId="0" applyFont="1" applyFill="1" applyBorder="1"/>
    <xf numFmtId="0" fontId="0" fillId="2" borderId="27" xfId="0" applyFill="1" applyBorder="1"/>
    <xf numFmtId="0" fontId="0" fillId="2" borderId="28" xfId="0" applyFill="1" applyBorder="1"/>
    <xf numFmtId="0" fontId="0" fillId="2" borderId="24" xfId="0" applyFill="1" applyBorder="1"/>
    <xf numFmtId="0" fontId="9" fillId="2" borderId="0" xfId="0" applyFont="1" applyFill="1"/>
    <xf numFmtId="0" fontId="9" fillId="2" borderId="0" xfId="0" applyFont="1" applyFill="1" applyAlignment="1">
      <alignment horizontal="center"/>
    </xf>
    <xf numFmtId="0" fontId="6" fillId="3" borderId="35" xfId="0" applyFont="1" applyFill="1" applyBorder="1"/>
    <xf numFmtId="0" fontId="8" fillId="2" borderId="36" xfId="0" applyFont="1" applyFill="1" applyBorder="1" applyAlignment="1">
      <alignment horizontal="center" wrapText="1"/>
    </xf>
    <xf numFmtId="0" fontId="7" fillId="3" borderId="35" xfId="0" applyFont="1" applyFill="1" applyBorder="1" applyAlignment="1">
      <alignment horizontal="left"/>
    </xf>
    <xf numFmtId="9" fontId="6" fillId="2" borderId="36" xfId="0" applyNumberFormat="1" applyFont="1" applyFill="1" applyBorder="1" applyAlignment="1">
      <alignment horizontal="center"/>
    </xf>
    <xf numFmtId="0" fontId="6" fillId="3" borderId="35" xfId="0" applyFont="1" applyFill="1" applyBorder="1" applyAlignment="1">
      <alignment horizontal="center"/>
    </xf>
    <xf numFmtId="2" fontId="6" fillId="2" borderId="36" xfId="0" applyNumberFormat="1" applyFont="1" applyFill="1" applyBorder="1" applyAlignment="1">
      <alignment horizontal="center"/>
    </xf>
    <xf numFmtId="0" fontId="6" fillId="2" borderId="36" xfId="0" applyFont="1" applyFill="1" applyBorder="1" applyAlignment="1">
      <alignment horizontal="center"/>
    </xf>
    <xf numFmtId="0" fontId="6" fillId="3" borderId="37" xfId="0" applyFont="1" applyFill="1" applyBorder="1"/>
    <xf numFmtId="0" fontId="6" fillId="3" borderId="25" xfId="0" applyFont="1" applyFill="1" applyBorder="1"/>
    <xf numFmtId="2" fontId="6" fillId="3" borderId="25" xfId="0" applyNumberFormat="1" applyFont="1" applyFill="1" applyBorder="1" applyAlignment="1">
      <alignment horizontal="center"/>
    </xf>
    <xf numFmtId="0" fontId="6" fillId="3" borderId="25" xfId="0" applyFont="1" applyFill="1" applyBorder="1" applyAlignment="1">
      <alignment horizontal="center"/>
    </xf>
    <xf numFmtId="2" fontId="6" fillId="2" borderId="38" xfId="0" applyNumberFormat="1" applyFont="1" applyFill="1" applyBorder="1" applyAlignment="1">
      <alignment horizontal="center"/>
    </xf>
    <xf numFmtId="0" fontId="0" fillId="3" borderId="39" xfId="0" applyFill="1" applyBorder="1" applyAlignment="1">
      <alignment horizontal="center" vertical="center"/>
    </xf>
    <xf numFmtId="165" fontId="0" fillId="3" borderId="29" xfId="1" applyNumberFormat="1" applyFont="1" applyFill="1" applyBorder="1" applyAlignment="1">
      <alignment horizontal="center"/>
    </xf>
    <xf numFmtId="165" fontId="0" fillId="3" borderId="31" xfId="1" applyNumberFormat="1" applyFont="1" applyFill="1" applyBorder="1" applyAlignment="1">
      <alignment horizontal="center"/>
    </xf>
    <xf numFmtId="0" fontId="8" fillId="0" borderId="35" xfId="0" applyFont="1" applyBorder="1" applyAlignment="1">
      <alignment horizontal="center"/>
    </xf>
    <xf numFmtId="0" fontId="0" fillId="2" borderId="35" xfId="0" applyFill="1" applyBorder="1"/>
    <xf numFmtId="165" fontId="6" fillId="2" borderId="35" xfId="0" applyNumberFormat="1" applyFont="1" applyFill="1" applyBorder="1" applyAlignment="1">
      <alignment horizontal="center"/>
    </xf>
    <xf numFmtId="165" fontId="6" fillId="2" borderId="37" xfId="0" applyNumberFormat="1" applyFont="1" applyFill="1" applyBorder="1" applyAlignment="1">
      <alignment horizontal="center"/>
    </xf>
    <xf numFmtId="6" fontId="0" fillId="2" borderId="0" xfId="0" applyNumberFormat="1" applyFill="1"/>
    <xf numFmtId="0" fontId="0" fillId="3" borderId="41" xfId="0" applyFill="1" applyBorder="1"/>
    <xf numFmtId="0" fontId="0" fillId="3" borderId="41" xfId="0" applyFill="1" applyBorder="1" applyAlignment="1">
      <alignment horizontal="center"/>
    </xf>
    <xf numFmtId="165" fontId="5" fillId="3" borderId="41" xfId="0" applyNumberFormat="1" applyFont="1" applyFill="1" applyBorder="1"/>
    <xf numFmtId="0" fontId="0" fillId="3" borderId="0" xfId="0" applyFill="1"/>
    <xf numFmtId="0" fontId="0" fillId="3" borderId="0" xfId="0" applyFill="1" applyAlignment="1">
      <alignment horizontal="center"/>
    </xf>
    <xf numFmtId="9" fontId="0" fillId="3" borderId="0" xfId="0" applyNumberFormat="1" applyFill="1" applyAlignment="1">
      <alignment horizontal="center" vertical="center"/>
    </xf>
    <xf numFmtId="0" fontId="6" fillId="3" borderId="0" xfId="0" applyFont="1" applyFill="1"/>
    <xf numFmtId="0" fontId="8" fillId="3" borderId="0" xfId="0" quotePrefix="1" applyFont="1" applyFill="1" applyAlignment="1">
      <alignment horizontal="center"/>
    </xf>
    <xf numFmtId="0" fontId="8" fillId="2" borderId="0" xfId="0" applyFont="1" applyFill="1" applyAlignment="1">
      <alignment horizontal="center"/>
    </xf>
    <xf numFmtId="0" fontId="8" fillId="2" borderId="23" xfId="0" applyFont="1" applyFill="1" applyBorder="1" applyAlignment="1">
      <alignment horizontal="center"/>
    </xf>
    <xf numFmtId="0" fontId="7" fillId="3" borderId="0" xfId="0" applyFont="1" applyFill="1" applyAlignment="1">
      <alignment horizontal="left"/>
    </xf>
    <xf numFmtId="2" fontId="6" fillId="3" borderId="0" xfId="0" applyNumberFormat="1" applyFont="1" applyFill="1" applyAlignment="1">
      <alignment horizontal="center"/>
    </xf>
    <xf numFmtId="165" fontId="0" fillId="0" borderId="0" xfId="0" applyNumberFormat="1" applyAlignment="1">
      <alignment horizontal="center"/>
    </xf>
    <xf numFmtId="165" fontId="0" fillId="2" borderId="23" xfId="0" applyNumberFormat="1" applyFill="1" applyBorder="1" applyAlignment="1">
      <alignment horizontal="center"/>
    </xf>
    <xf numFmtId="0" fontId="0" fillId="0" borderId="18" xfId="0" applyBorder="1"/>
    <xf numFmtId="165" fontId="6" fillId="0" borderId="44" xfId="0" applyNumberFormat="1" applyFont="1" applyBorder="1" applyAlignment="1">
      <alignment horizontal="center" vertical="center"/>
    </xf>
    <xf numFmtId="165" fontId="6" fillId="2" borderId="23" xfId="0" applyNumberFormat="1" applyFont="1" applyFill="1" applyBorder="1" applyAlignment="1">
      <alignment vertical="center"/>
    </xf>
    <xf numFmtId="165" fontId="6" fillId="2" borderId="23" xfId="0" applyNumberFormat="1" applyFont="1" applyFill="1" applyBorder="1" applyAlignment="1">
      <alignment horizontal="center" vertical="center"/>
    </xf>
    <xf numFmtId="165" fontId="6" fillId="2" borderId="0" xfId="0" applyNumberFormat="1" applyFont="1" applyFill="1" applyAlignment="1">
      <alignment horizontal="center"/>
    </xf>
    <xf numFmtId="165" fontId="6" fillId="0" borderId="23" xfId="0" applyNumberFormat="1" applyFont="1" applyBorder="1" applyAlignment="1">
      <alignment horizontal="center" vertical="center"/>
    </xf>
    <xf numFmtId="0" fontId="0" fillId="3" borderId="27" xfId="0" applyFill="1" applyBorder="1"/>
    <xf numFmtId="0" fontId="0" fillId="3" borderId="28" xfId="0" applyFill="1" applyBorder="1"/>
    <xf numFmtId="2" fontId="0" fillId="3" borderId="28" xfId="0" applyNumberFormat="1" applyFill="1" applyBorder="1" applyAlignment="1">
      <alignment horizontal="center"/>
    </xf>
    <xf numFmtId="0" fontId="0" fillId="3" borderId="28" xfId="0" applyFill="1" applyBorder="1" applyAlignment="1">
      <alignment horizontal="center"/>
    </xf>
    <xf numFmtId="2" fontId="0" fillId="2" borderId="28" xfId="0" applyNumberFormat="1" applyFill="1" applyBorder="1" applyAlignment="1">
      <alignment horizontal="center"/>
    </xf>
    <xf numFmtId="0" fontId="0" fillId="2" borderId="28" xfId="0" applyFill="1" applyBorder="1" applyAlignment="1">
      <alignment horizontal="center"/>
    </xf>
    <xf numFmtId="0" fontId="0" fillId="0" borderId="24" xfId="0" applyBorder="1"/>
    <xf numFmtId="165" fontId="3" fillId="3" borderId="42" xfId="0" applyNumberFormat="1" applyFont="1" applyFill="1" applyBorder="1"/>
    <xf numFmtId="0" fontId="3" fillId="3" borderId="40" xfId="0" applyFont="1" applyFill="1" applyBorder="1" applyAlignment="1">
      <alignment horizontal="left"/>
    </xf>
    <xf numFmtId="0" fontId="4" fillId="2" borderId="0" xfId="0" applyFont="1" applyFill="1" applyAlignment="1">
      <alignment horizontal="center" vertical="center"/>
    </xf>
    <xf numFmtId="0" fontId="3" fillId="2" borderId="16" xfId="0" applyFont="1" applyFill="1" applyBorder="1"/>
    <xf numFmtId="0" fontId="0" fillId="2" borderId="45" xfId="0" applyFill="1" applyBorder="1"/>
    <xf numFmtId="0" fontId="5" fillId="2" borderId="17" xfId="0" applyFont="1" applyFill="1" applyBorder="1" applyAlignment="1">
      <alignment horizontal="center" vertical="center"/>
    </xf>
    <xf numFmtId="0" fontId="3" fillId="2" borderId="9" xfId="0" applyFont="1" applyFill="1" applyBorder="1"/>
    <xf numFmtId="3" fontId="5" fillId="2" borderId="1" xfId="0" applyNumberFormat="1" applyFont="1" applyFill="1" applyBorder="1" applyAlignment="1">
      <alignment horizontal="center" vertical="center"/>
    </xf>
    <xf numFmtId="164" fontId="5" fillId="2" borderId="8" xfId="0" applyNumberFormat="1" applyFont="1" applyFill="1" applyBorder="1"/>
    <xf numFmtId="0" fontId="6" fillId="3" borderId="19" xfId="0" applyFont="1" applyFill="1" applyBorder="1"/>
    <xf numFmtId="0" fontId="6" fillId="3" borderId="20" xfId="0" applyFont="1" applyFill="1" applyBorder="1"/>
    <xf numFmtId="2" fontId="6" fillId="3" borderId="21" xfId="0" applyNumberFormat="1" applyFont="1" applyFill="1" applyBorder="1" applyAlignment="1">
      <alignment horizontal="center"/>
    </xf>
    <xf numFmtId="0" fontId="6" fillId="3" borderId="27" xfId="0" applyFont="1" applyFill="1" applyBorder="1"/>
    <xf numFmtId="0" fontId="6" fillId="3" borderId="28" xfId="0" applyFont="1" applyFill="1" applyBorder="1"/>
    <xf numFmtId="2" fontId="6" fillId="3" borderId="24" xfId="0" applyNumberFormat="1" applyFont="1" applyFill="1" applyBorder="1" applyAlignment="1">
      <alignment horizontal="center"/>
    </xf>
    <xf numFmtId="2" fontId="6" fillId="3" borderId="23" xfId="0" applyNumberFormat="1" applyFont="1" applyFill="1" applyBorder="1" applyAlignment="1">
      <alignment horizontal="center"/>
    </xf>
    <xf numFmtId="0" fontId="7" fillId="3" borderId="22" xfId="0" applyFont="1" applyFill="1" applyBorder="1"/>
    <xf numFmtId="166" fontId="0" fillId="3" borderId="46" xfId="0" applyNumberFormat="1" applyFill="1" applyBorder="1" applyAlignment="1">
      <alignment horizontal="center" vertical="center"/>
    </xf>
    <xf numFmtId="0" fontId="0" fillId="3" borderId="15" xfId="0" applyFill="1" applyBorder="1" applyAlignment="1">
      <alignment horizontal="center" vertical="center"/>
    </xf>
    <xf numFmtId="164" fontId="7" fillId="2" borderId="23" xfId="1" applyNumberFormat="1" applyFont="1" applyFill="1" applyBorder="1" applyAlignment="1">
      <alignment horizontal="left"/>
    </xf>
    <xf numFmtId="164" fontId="2" fillId="2" borderId="23" xfId="1" applyNumberFormat="1" applyFont="1" applyFill="1" applyBorder="1" applyAlignment="1">
      <alignment horizontal="left"/>
    </xf>
    <xf numFmtId="164" fontId="6" fillId="2" borderId="23" xfId="1" applyNumberFormat="1" applyFont="1" applyFill="1" applyBorder="1" applyAlignment="1">
      <alignment horizontal="right"/>
    </xf>
    <xf numFmtId="164" fontId="0" fillId="0" borderId="0" xfId="0" applyNumberFormat="1"/>
    <xf numFmtId="0" fontId="10" fillId="2" borderId="6" xfId="0" applyFont="1" applyFill="1" applyBorder="1"/>
    <xf numFmtId="0" fontId="2" fillId="2" borderId="7" xfId="0" applyFont="1" applyFill="1" applyBorder="1"/>
    <xf numFmtId="0" fontId="11" fillId="2" borderId="7" xfId="2" applyFill="1" applyBorder="1"/>
    <xf numFmtId="0" fontId="11" fillId="2" borderId="8" xfId="2" applyFill="1" applyBorder="1"/>
    <xf numFmtId="0" fontId="6" fillId="3" borderId="32" xfId="0" applyFont="1" applyFill="1" applyBorder="1" applyAlignment="1">
      <alignment horizontal="center"/>
    </xf>
    <xf numFmtId="0" fontId="6" fillId="3" borderId="33" xfId="0" applyFont="1" applyFill="1" applyBorder="1" applyAlignment="1">
      <alignment horizontal="center"/>
    </xf>
    <xf numFmtId="0" fontId="6" fillId="3" borderId="34" xfId="0" applyFont="1" applyFill="1" applyBorder="1" applyAlignment="1">
      <alignment horizontal="center"/>
    </xf>
    <xf numFmtId="0" fontId="6" fillId="2" borderId="32" xfId="0" applyFont="1" applyFill="1" applyBorder="1" applyAlignment="1">
      <alignment horizontal="center"/>
    </xf>
    <xf numFmtId="0" fontId="6" fillId="2" borderId="43" xfId="0" applyFont="1" applyFill="1" applyBorder="1" applyAlignment="1">
      <alignment horizontal="center"/>
    </xf>
    <xf numFmtId="0" fontId="6" fillId="3" borderId="19" xfId="0" applyFont="1" applyFill="1" applyBorder="1" applyAlignment="1">
      <alignment horizontal="center"/>
    </xf>
    <xf numFmtId="0" fontId="6" fillId="3" borderId="20" xfId="0" applyFont="1" applyFill="1" applyBorder="1" applyAlignment="1">
      <alignment horizontal="center"/>
    </xf>
    <xf numFmtId="0" fontId="6" fillId="3" borderId="21" xfId="0" applyFon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jmc.com/view/the-cost-of-implementing-and-sustaining-the-massachusetts-model" TargetMode="External"/><Relationship Id="rId1" Type="http://schemas.openxmlformats.org/officeDocument/2006/relationships/hyperlink" Target="mailto:contact@cherishresearch.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6E33C-829C-4B0A-89C7-720A21FED2D2}">
  <dimension ref="B1:C23"/>
  <sheetViews>
    <sheetView tabSelected="1" topLeftCell="B8" workbookViewId="0">
      <selection activeCell="B21" sqref="B21"/>
    </sheetView>
  </sheetViews>
  <sheetFormatPr defaultRowHeight="14.5" x14ac:dyDescent="0.35"/>
  <cols>
    <col min="2" max="2" width="9.1796875" customWidth="1"/>
    <col min="3" max="3" width="168.81640625" customWidth="1"/>
    <col min="18" max="18" width="9.1796875" customWidth="1"/>
  </cols>
  <sheetData>
    <row r="1" spans="2:3" ht="15" thickBot="1" x14ac:dyDescent="0.4"/>
    <row r="2" spans="2:3" x14ac:dyDescent="0.35">
      <c r="B2" s="8" t="s">
        <v>109</v>
      </c>
      <c r="C2" s="9"/>
    </row>
    <row r="3" spans="2:3" x14ac:dyDescent="0.35">
      <c r="B3" s="193" t="s">
        <v>111</v>
      </c>
      <c r="C3" s="11"/>
    </row>
    <row r="4" spans="2:3" x14ac:dyDescent="0.35">
      <c r="B4" s="193" t="s">
        <v>112</v>
      </c>
      <c r="C4" s="11"/>
    </row>
    <row r="5" spans="2:3" x14ac:dyDescent="0.35">
      <c r="B5" s="193"/>
      <c r="C5" s="11"/>
    </row>
    <row r="6" spans="2:3" x14ac:dyDescent="0.35">
      <c r="B6" s="23" t="s">
        <v>99</v>
      </c>
      <c r="C6" s="11"/>
    </row>
    <row r="7" spans="2:3" ht="43.5" x14ac:dyDescent="0.35">
      <c r="B7" s="10"/>
      <c r="C7" s="28" t="s">
        <v>115</v>
      </c>
    </row>
    <row r="8" spans="2:3" x14ac:dyDescent="0.35">
      <c r="B8" s="23" t="s">
        <v>100</v>
      </c>
      <c r="C8" s="11"/>
    </row>
    <row r="9" spans="2:3" ht="43.5" x14ac:dyDescent="0.35">
      <c r="B9" s="10"/>
      <c r="C9" s="28" t="s">
        <v>113</v>
      </c>
    </row>
    <row r="10" spans="2:3" x14ac:dyDescent="0.35">
      <c r="B10" s="23" t="s">
        <v>101</v>
      </c>
      <c r="C10" s="11"/>
    </row>
    <row r="11" spans="2:3" ht="43.5" x14ac:dyDescent="0.35">
      <c r="B11" s="10"/>
      <c r="C11" s="28" t="s">
        <v>114</v>
      </c>
    </row>
    <row r="12" spans="2:3" x14ac:dyDescent="0.35">
      <c r="B12" s="23" t="s">
        <v>102</v>
      </c>
      <c r="C12" s="11"/>
    </row>
    <row r="13" spans="2:3" x14ac:dyDescent="0.35">
      <c r="B13" s="10"/>
      <c r="C13" s="194" t="s">
        <v>108</v>
      </c>
    </row>
    <row r="14" spans="2:3" x14ac:dyDescent="0.35">
      <c r="B14" s="10"/>
      <c r="C14" s="11"/>
    </row>
    <row r="15" spans="2:3" x14ac:dyDescent="0.35">
      <c r="B15" s="193" t="s">
        <v>103</v>
      </c>
      <c r="C15" s="11"/>
    </row>
    <row r="16" spans="2:3" ht="29" x14ac:dyDescent="0.35">
      <c r="B16" s="10"/>
      <c r="C16" s="28" t="s">
        <v>106</v>
      </c>
    </row>
    <row r="17" spans="2:3" x14ac:dyDescent="0.35">
      <c r="B17" s="10"/>
      <c r="C17" s="195" t="s">
        <v>107</v>
      </c>
    </row>
    <row r="18" spans="2:3" x14ac:dyDescent="0.35">
      <c r="B18" s="10"/>
      <c r="C18" s="11"/>
    </row>
    <row r="19" spans="2:3" x14ac:dyDescent="0.35">
      <c r="B19" s="193" t="s">
        <v>110</v>
      </c>
      <c r="C19" s="11"/>
    </row>
    <row r="20" spans="2:3" ht="43.5" x14ac:dyDescent="0.35">
      <c r="B20" s="23"/>
      <c r="C20" s="28" t="s">
        <v>116</v>
      </c>
    </row>
    <row r="21" spans="2:3" x14ac:dyDescent="0.35">
      <c r="B21" s="10"/>
      <c r="C21" s="11"/>
    </row>
    <row r="22" spans="2:3" x14ac:dyDescent="0.35">
      <c r="B22" s="193" t="s">
        <v>104</v>
      </c>
      <c r="C22" s="11"/>
    </row>
    <row r="23" spans="2:3" ht="15" thickBot="1" x14ac:dyDescent="0.4">
      <c r="B23" s="22"/>
      <c r="C23" s="196" t="s">
        <v>105</v>
      </c>
    </row>
  </sheetData>
  <hyperlinks>
    <hyperlink ref="C23" r:id="rId1" xr:uid="{BD77D9B8-3919-4AA9-BDC0-49CA2350CE2B}"/>
    <hyperlink ref="C17" r:id="rId2" xr:uid="{447C47DA-3320-4D9F-8995-076D1B9F1B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2"/>
  <sheetViews>
    <sheetView topLeftCell="A2" workbookViewId="0">
      <selection activeCell="B7" sqref="B7"/>
    </sheetView>
  </sheetViews>
  <sheetFormatPr defaultColWidth="8.81640625" defaultRowHeight="14.5" x14ac:dyDescent="0.35"/>
  <cols>
    <col min="1" max="1" width="2.81640625" customWidth="1"/>
    <col min="2" max="2" width="45.1796875" bestFit="1" customWidth="1"/>
    <col min="3" max="3" width="1.7265625" customWidth="1"/>
    <col min="4" max="4" width="19.7265625" customWidth="1"/>
    <col min="5" max="5" width="16.1796875" customWidth="1"/>
    <col min="6" max="6" width="13.81640625" customWidth="1"/>
    <col min="8" max="8" width="12.81640625" customWidth="1"/>
    <col min="9" max="9" width="7.54296875" customWidth="1"/>
  </cols>
  <sheetData>
    <row r="1" spans="1:9" ht="15" thickBot="1" x14ac:dyDescent="0.4">
      <c r="A1" s="1"/>
      <c r="B1" s="1"/>
      <c r="C1" s="1"/>
      <c r="D1" s="1"/>
      <c r="E1" s="1"/>
      <c r="F1" s="1"/>
      <c r="G1" s="1"/>
      <c r="H1" s="1"/>
      <c r="I1" s="1"/>
    </row>
    <row r="2" spans="1:9" x14ac:dyDescent="0.35">
      <c r="A2" s="1"/>
      <c r="B2" s="8"/>
      <c r="C2" s="24"/>
      <c r="D2" s="24"/>
      <c r="E2" s="24"/>
      <c r="F2" s="24"/>
      <c r="G2" s="24"/>
      <c r="H2" s="24"/>
      <c r="I2" s="9"/>
    </row>
    <row r="3" spans="1:9" ht="18.5" x14ac:dyDescent="0.45">
      <c r="A3" s="1"/>
      <c r="B3" s="26" t="s">
        <v>15</v>
      </c>
      <c r="C3" s="1"/>
      <c r="D3" s="1"/>
      <c r="E3" s="1"/>
      <c r="F3" s="1"/>
      <c r="G3" s="1"/>
      <c r="H3" s="1"/>
      <c r="I3" s="11"/>
    </row>
    <row r="4" spans="1:9" ht="8.25" customHeight="1" thickBot="1" x14ac:dyDescent="0.5">
      <c r="A4" s="1"/>
      <c r="B4" s="29"/>
      <c r="C4" s="1"/>
      <c r="D4" s="1"/>
      <c r="E4" s="1"/>
      <c r="F4" s="1"/>
      <c r="G4" s="1"/>
      <c r="H4" s="1"/>
      <c r="I4" s="11"/>
    </row>
    <row r="5" spans="1:9" ht="48" customHeight="1" x14ac:dyDescent="0.4">
      <c r="A5" s="1"/>
      <c r="B5" s="51" t="s">
        <v>16</v>
      </c>
      <c r="C5" s="1"/>
      <c r="D5" s="49" t="s">
        <v>17</v>
      </c>
      <c r="E5" s="1"/>
      <c r="F5" s="1"/>
      <c r="G5" s="1"/>
      <c r="H5" s="1"/>
      <c r="I5" s="11"/>
    </row>
    <row r="6" spans="1:9" ht="48" customHeight="1" x14ac:dyDescent="0.4">
      <c r="A6" s="1"/>
      <c r="B6" s="51" t="s">
        <v>18</v>
      </c>
      <c r="C6" s="1"/>
      <c r="D6" s="50">
        <v>3</v>
      </c>
      <c r="E6" s="1"/>
      <c r="F6" s="1"/>
      <c r="G6" s="1"/>
      <c r="H6" s="1"/>
      <c r="I6" s="11"/>
    </row>
    <row r="7" spans="1:9" ht="48" customHeight="1" x14ac:dyDescent="0.4">
      <c r="A7" s="1"/>
      <c r="B7" s="51" t="s">
        <v>19</v>
      </c>
      <c r="C7" s="1"/>
      <c r="D7" s="50">
        <v>75</v>
      </c>
      <c r="E7" s="1"/>
      <c r="F7" s="1"/>
      <c r="G7" s="1"/>
      <c r="H7" s="1"/>
      <c r="I7" s="11"/>
    </row>
    <row r="8" spans="1:9" ht="18.5" x14ac:dyDescent="0.45">
      <c r="A8" s="1"/>
      <c r="B8" s="47"/>
      <c r="C8" s="1"/>
      <c r="D8" s="1"/>
      <c r="E8" s="1"/>
      <c r="F8" s="1"/>
      <c r="G8" s="1"/>
      <c r="H8" s="1"/>
      <c r="I8" s="11"/>
    </row>
    <row r="9" spans="1:9" s="7" customFormat="1" ht="55.5" x14ac:dyDescent="0.45">
      <c r="A9" s="25"/>
      <c r="B9" s="27"/>
      <c r="C9" s="25"/>
      <c r="D9" s="14" t="s">
        <v>20</v>
      </c>
      <c r="E9" s="14" t="s">
        <v>21</v>
      </c>
      <c r="F9" s="14" t="s">
        <v>22</v>
      </c>
      <c r="G9" s="14" t="s">
        <v>23</v>
      </c>
      <c r="H9" s="14" t="s">
        <v>24</v>
      </c>
      <c r="I9" s="28"/>
    </row>
    <row r="10" spans="1:9" ht="18.5" x14ac:dyDescent="0.45">
      <c r="A10" s="1"/>
      <c r="B10" s="29" t="s">
        <v>25</v>
      </c>
      <c r="C10" s="1"/>
      <c r="D10" s="3"/>
      <c r="E10" s="3"/>
      <c r="F10" s="3"/>
      <c r="G10" s="3"/>
      <c r="H10" s="3"/>
      <c r="I10" s="11"/>
    </row>
    <row r="11" spans="1:9" ht="17" x14ac:dyDescent="0.4">
      <c r="A11" s="1"/>
      <c r="B11" s="30" t="s">
        <v>26</v>
      </c>
      <c r="C11" s="31"/>
      <c r="D11" s="4">
        <v>94480</v>
      </c>
      <c r="E11" s="44">
        <v>0.31</v>
      </c>
      <c r="F11" s="4">
        <f>D11*(1+E11)</f>
        <v>123768.8</v>
      </c>
      <c r="G11" s="32">
        <f>IF(AND($D$7&lt;76,$D$7&gt;0),1,IF(AND($D$7&gt;75,$D$7&lt;151),2,IF(AND($D$7&gt;150),3,0)))</f>
        <v>1</v>
      </c>
      <c r="H11" s="4">
        <f t="shared" ref="H11:H19" si="0">F11*G11</f>
        <v>123768.8</v>
      </c>
      <c r="I11" s="11"/>
    </row>
    <row r="12" spans="1:9" ht="17" x14ac:dyDescent="0.4">
      <c r="A12" s="1"/>
      <c r="B12" s="30" t="s">
        <v>27</v>
      </c>
      <c r="C12" s="31"/>
      <c r="D12" s="4">
        <v>94480</v>
      </c>
      <c r="E12" s="44">
        <v>0.31</v>
      </c>
      <c r="F12" s="4">
        <f>D12*(1+E12)</f>
        <v>123768.8</v>
      </c>
      <c r="G12" s="32">
        <f>IF(G11&gt;0,1,0)</f>
        <v>1</v>
      </c>
      <c r="H12" s="4">
        <f t="shared" si="0"/>
        <v>123768.8</v>
      </c>
      <c r="I12" s="11"/>
    </row>
    <row r="13" spans="1:9" ht="17" x14ac:dyDescent="0.4">
      <c r="A13" s="1"/>
      <c r="B13" s="30" t="s">
        <v>17</v>
      </c>
      <c r="C13" s="31"/>
      <c r="D13" s="4">
        <v>245450</v>
      </c>
      <c r="E13" s="44">
        <v>0.31</v>
      </c>
      <c r="F13" s="4">
        <f>D13*(1+E13)</f>
        <v>321539.5</v>
      </c>
      <c r="G13" s="32">
        <f>IF($D$5="Physician",$D$6,0)</f>
        <v>3</v>
      </c>
      <c r="H13" s="4">
        <f t="shared" si="0"/>
        <v>964618.5</v>
      </c>
      <c r="I13" s="11"/>
    </row>
    <row r="14" spans="1:9" ht="17" x14ac:dyDescent="0.4">
      <c r="A14" s="1"/>
      <c r="B14" s="30" t="s">
        <v>28</v>
      </c>
      <c r="C14" s="31"/>
      <c r="D14" s="4">
        <v>134790</v>
      </c>
      <c r="E14" s="44">
        <v>0.31</v>
      </c>
      <c r="F14" s="4">
        <f>D14*(1+E14)</f>
        <v>176574.9</v>
      </c>
      <c r="G14" s="32">
        <f>IF($D$5="Pharmacist",$D$6,0)</f>
        <v>0</v>
      </c>
      <c r="H14" s="4">
        <f t="shared" si="0"/>
        <v>0</v>
      </c>
      <c r="I14" s="11"/>
    </row>
    <row r="15" spans="1:9" ht="17" x14ac:dyDescent="0.4">
      <c r="A15" s="1"/>
      <c r="B15" s="30" t="s">
        <v>29</v>
      </c>
      <c r="C15" s="31"/>
      <c r="D15" s="4">
        <v>130490</v>
      </c>
      <c r="E15" s="44">
        <v>0.31</v>
      </c>
      <c r="F15" s="4">
        <f t="shared" ref="F15:F19" si="1">D15*(1+E15)</f>
        <v>170941.9</v>
      </c>
      <c r="G15" s="32">
        <f>IF($D$5="Physician Assistant",$D$6,0)</f>
        <v>0</v>
      </c>
      <c r="H15" s="4">
        <f t="shared" si="0"/>
        <v>0</v>
      </c>
      <c r="I15" s="11"/>
    </row>
    <row r="16" spans="1:9" ht="17" x14ac:dyDescent="0.4">
      <c r="A16" s="1"/>
      <c r="B16" s="30" t="s">
        <v>30</v>
      </c>
      <c r="C16" s="1"/>
      <c r="D16" s="4">
        <f>128490</f>
        <v>128490</v>
      </c>
      <c r="E16" s="44">
        <v>0.31</v>
      </c>
      <c r="F16" s="4">
        <f t="shared" si="1"/>
        <v>168321.9</v>
      </c>
      <c r="G16" s="32">
        <f>IF($D$5="Nurse Practioner",$D$6,0)</f>
        <v>0</v>
      </c>
      <c r="H16" s="4">
        <f t="shared" si="0"/>
        <v>0</v>
      </c>
      <c r="I16" s="11"/>
    </row>
    <row r="17" spans="1:9" ht="17" x14ac:dyDescent="0.4">
      <c r="A17" s="1"/>
      <c r="B17" s="10"/>
      <c r="C17" s="1"/>
      <c r="D17" s="13"/>
      <c r="E17" s="44"/>
      <c r="F17" s="33"/>
      <c r="G17" s="34"/>
      <c r="H17" s="33"/>
      <c r="I17" s="11"/>
    </row>
    <row r="18" spans="1:9" ht="18.5" x14ac:dyDescent="0.45">
      <c r="A18" s="1"/>
      <c r="B18" s="29" t="s">
        <v>31</v>
      </c>
      <c r="C18" s="1"/>
      <c r="D18" s="13"/>
      <c r="E18" s="44"/>
      <c r="F18" s="33"/>
      <c r="G18" s="34"/>
      <c r="H18" s="33"/>
      <c r="I18" s="11"/>
    </row>
    <row r="19" spans="1:9" ht="17" x14ac:dyDescent="0.4">
      <c r="A19" s="1"/>
      <c r="B19" s="30" t="s">
        <v>32</v>
      </c>
      <c r="C19" s="31"/>
      <c r="D19" s="4">
        <f>128490</f>
        <v>128490</v>
      </c>
      <c r="E19" s="44">
        <v>0.31</v>
      </c>
      <c r="F19" s="4">
        <f t="shared" si="1"/>
        <v>168321.9</v>
      </c>
      <c r="G19" s="32">
        <f>IF($D$7&gt;0,2,0)</f>
        <v>2</v>
      </c>
      <c r="H19" s="4">
        <f t="shared" si="0"/>
        <v>336643.8</v>
      </c>
      <c r="I19" s="11"/>
    </row>
    <row r="20" spans="1:9" x14ac:dyDescent="0.35">
      <c r="A20" s="1"/>
      <c r="B20" s="10"/>
      <c r="C20" s="1"/>
      <c r="D20" s="13"/>
      <c r="E20" s="13"/>
      <c r="F20" s="13"/>
      <c r="G20" s="34"/>
      <c r="H20" s="61"/>
      <c r="I20" s="11"/>
    </row>
    <row r="21" spans="1:9" x14ac:dyDescent="0.35">
      <c r="A21" s="1"/>
      <c r="B21" s="65" t="s">
        <v>33</v>
      </c>
      <c r="C21" s="66"/>
      <c r="D21" s="66"/>
      <c r="E21" s="66"/>
      <c r="F21" s="66"/>
      <c r="G21" s="66"/>
      <c r="H21" s="66"/>
      <c r="I21" s="68"/>
    </row>
    <row r="22" spans="1:9" x14ac:dyDescent="0.35">
      <c r="B22" s="118" t="s">
        <v>34</v>
      </c>
      <c r="C22" s="119"/>
      <c r="D22" s="119"/>
      <c r="E22" s="119"/>
      <c r="F22" s="119"/>
      <c r="G22" s="119"/>
      <c r="H22" s="119"/>
      <c r="I22" s="120"/>
    </row>
  </sheetData>
  <dataValidations count="1">
    <dataValidation type="list" allowBlank="1" showInputMessage="1" showErrorMessage="1" sqref="D5" xr:uid="{864C3B59-03E3-417A-B5BE-AE64042EBD0F}">
      <formula1>$B$13:$B$16</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1"/>
  <sheetViews>
    <sheetView zoomScaleNormal="70" workbookViewId="0">
      <selection activeCell="A44" sqref="A44"/>
    </sheetView>
  </sheetViews>
  <sheetFormatPr defaultColWidth="8.81640625" defaultRowHeight="14.5" x14ac:dyDescent="0.35"/>
  <cols>
    <col min="1" max="1" width="2.1796875" customWidth="1"/>
    <col min="2" max="2" width="61.7265625" bestFit="1" customWidth="1"/>
    <col min="3" max="3" width="2.453125" customWidth="1"/>
    <col min="4" max="4" width="13.26953125" style="2" customWidth="1"/>
    <col min="5" max="5" width="10.7265625" style="2" customWidth="1"/>
    <col min="6" max="6" width="19.453125" style="2" customWidth="1"/>
    <col min="7" max="7" width="30.453125" bestFit="1" customWidth="1"/>
    <col min="8" max="8" width="5.453125" style="1" customWidth="1"/>
    <col min="9" max="9" width="2" style="1" customWidth="1"/>
    <col min="12" max="13" width="10.81640625" bestFit="1" customWidth="1"/>
  </cols>
  <sheetData>
    <row r="1" spans="1:7" s="121" customFormat="1" x14ac:dyDescent="0.35">
      <c r="D1" s="122"/>
      <c r="E1" s="122"/>
      <c r="F1" s="122"/>
    </row>
    <row r="2" spans="1:7" ht="21" x14ac:dyDescent="0.5">
      <c r="A2" s="8"/>
      <c r="B2" s="93" t="s">
        <v>35</v>
      </c>
      <c r="C2" s="66"/>
      <c r="D2" s="67"/>
      <c r="E2" s="67"/>
      <c r="F2" s="67"/>
      <c r="G2" s="104">
        <f>SUM(G5,G11,G23,G34)</f>
        <v>9211.9777848089125</v>
      </c>
    </row>
    <row r="3" spans="1:7" x14ac:dyDescent="0.35">
      <c r="A3" s="10"/>
      <c r="B3" s="65"/>
      <c r="C3" s="66"/>
      <c r="D3" s="67"/>
      <c r="E3" s="67"/>
      <c r="F3" s="67"/>
      <c r="G3" s="68"/>
    </row>
    <row r="4" spans="1:7" ht="37" x14ac:dyDescent="0.35">
      <c r="A4" s="10"/>
      <c r="B4" s="75"/>
      <c r="C4" s="1"/>
      <c r="D4" s="5" t="s">
        <v>36</v>
      </c>
      <c r="E4" s="5" t="s">
        <v>37</v>
      </c>
      <c r="F4" s="6" t="s">
        <v>38</v>
      </c>
      <c r="G4" s="78" t="s">
        <v>39</v>
      </c>
    </row>
    <row r="5" spans="1:7" ht="18.5" x14ac:dyDescent="0.45">
      <c r="A5" s="10"/>
      <c r="B5" s="69" t="s">
        <v>40</v>
      </c>
      <c r="C5" s="79"/>
      <c r="D5" s="4"/>
      <c r="E5" s="80"/>
      <c r="F5" s="80"/>
      <c r="G5" s="81">
        <f>SUM(G6:G9)</f>
        <v>805</v>
      </c>
    </row>
    <row r="6" spans="1:7" ht="17" x14ac:dyDescent="0.4">
      <c r="A6" s="10"/>
      <c r="B6" s="71" t="s">
        <v>41</v>
      </c>
      <c r="C6" s="82"/>
      <c r="D6" s="4">
        <v>112</v>
      </c>
      <c r="E6" s="83">
        <f>'1. Labor'!$G$11</f>
        <v>1</v>
      </c>
      <c r="F6" s="80" t="s">
        <v>42</v>
      </c>
      <c r="G6" s="84">
        <f>D6*E6</f>
        <v>112</v>
      </c>
    </row>
    <row r="7" spans="1:7" ht="17" x14ac:dyDescent="0.4">
      <c r="A7" s="10"/>
      <c r="B7" s="71" t="s">
        <v>43</v>
      </c>
      <c r="C7" s="82"/>
      <c r="D7" s="4">
        <v>24</v>
      </c>
      <c r="E7" s="83">
        <f>'1. Labor'!$G$11</f>
        <v>1</v>
      </c>
      <c r="F7" s="80" t="s">
        <v>42</v>
      </c>
      <c r="G7" s="84">
        <f>D7*E7</f>
        <v>24</v>
      </c>
    </row>
    <row r="8" spans="1:7" ht="18.5" x14ac:dyDescent="0.4">
      <c r="A8" s="10"/>
      <c r="B8" s="71" t="s">
        <v>44</v>
      </c>
      <c r="C8" s="1"/>
      <c r="D8" s="85">
        <v>469</v>
      </c>
      <c r="E8" s="83">
        <f>'1. Labor'!$G$11</f>
        <v>1</v>
      </c>
      <c r="F8" s="86" t="s">
        <v>42</v>
      </c>
      <c r="G8" s="84">
        <f>D8*E8</f>
        <v>469</v>
      </c>
    </row>
    <row r="9" spans="1:7" ht="18.5" x14ac:dyDescent="0.4">
      <c r="A9" s="10"/>
      <c r="B9" s="71" t="s">
        <v>45</v>
      </c>
      <c r="C9" s="1"/>
      <c r="D9" s="85">
        <v>200</v>
      </c>
      <c r="E9" s="83">
        <f>'1. Labor'!$G$11</f>
        <v>1</v>
      </c>
      <c r="F9" s="86" t="s">
        <v>42</v>
      </c>
      <c r="G9" s="84">
        <f>D9*E9</f>
        <v>200</v>
      </c>
    </row>
    <row r="10" spans="1:7" ht="18.5" x14ac:dyDescent="0.35">
      <c r="A10" s="10"/>
      <c r="B10" s="75"/>
      <c r="C10" s="1"/>
      <c r="D10" s="18"/>
      <c r="E10" s="18"/>
      <c r="F10" s="87"/>
      <c r="G10" s="88"/>
    </row>
    <row r="11" spans="1:7" ht="18.5" x14ac:dyDescent="0.45">
      <c r="A11" s="10"/>
      <c r="B11" s="69" t="s">
        <v>4</v>
      </c>
      <c r="C11" s="79"/>
      <c r="D11" s="4"/>
      <c r="E11" s="80"/>
      <c r="F11" s="80"/>
      <c r="G11" s="81">
        <f>SUM(G12:G21)</f>
        <v>5737.1126196091973</v>
      </c>
    </row>
    <row r="12" spans="1:7" ht="17" x14ac:dyDescent="0.4">
      <c r="A12" s="10"/>
      <c r="B12" s="71" t="s">
        <v>46</v>
      </c>
      <c r="C12" s="79"/>
      <c r="D12" s="4">
        <f>251*3</f>
        <v>753</v>
      </c>
      <c r="E12" s="83">
        <f>SUM('1. Labor'!$G$11,'1. Labor'!$G$12)</f>
        <v>2</v>
      </c>
      <c r="F12" s="80" t="s">
        <v>42</v>
      </c>
      <c r="G12" s="84">
        <f>D12*E12</f>
        <v>1506</v>
      </c>
    </row>
    <row r="13" spans="1:7" ht="17" x14ac:dyDescent="0.4">
      <c r="A13" s="10"/>
      <c r="B13" s="71" t="s">
        <v>47</v>
      </c>
      <c r="C13" s="79"/>
      <c r="D13" s="4">
        <v>277</v>
      </c>
      <c r="E13" s="83">
        <f>SUM('1. Labor'!$G$11,'1. Labor'!$G$12)</f>
        <v>2</v>
      </c>
      <c r="F13" s="80" t="s">
        <v>42</v>
      </c>
      <c r="G13" s="84">
        <f>D13*E13</f>
        <v>554</v>
      </c>
    </row>
    <row r="14" spans="1:7" ht="17" x14ac:dyDescent="0.4">
      <c r="A14" s="10"/>
      <c r="B14" s="71" t="s">
        <v>48</v>
      </c>
      <c r="C14" s="79"/>
      <c r="D14" s="4">
        <f>AVERAGE(324,270,270,100,320,178)</f>
        <v>243.66666666666666</v>
      </c>
      <c r="E14" s="83">
        <f>SUM('1. Labor'!$G$11,'1. Labor'!$G$12)</f>
        <v>2</v>
      </c>
      <c r="F14" s="80" t="s">
        <v>42</v>
      </c>
      <c r="G14" s="84">
        <f>D14*E14</f>
        <v>487.33333333333331</v>
      </c>
    </row>
    <row r="15" spans="1:7" ht="17" x14ac:dyDescent="0.4">
      <c r="A15" s="10"/>
      <c r="B15" s="71"/>
      <c r="C15" s="79"/>
      <c r="D15" s="4"/>
      <c r="E15" s="80"/>
      <c r="F15" s="80"/>
      <c r="G15" s="81"/>
    </row>
    <row r="16" spans="1:7" ht="18.5" x14ac:dyDescent="0.45">
      <c r="A16" s="10"/>
      <c r="B16" s="69"/>
      <c r="C16" s="79"/>
      <c r="D16" s="35" t="s">
        <v>49</v>
      </c>
      <c r="E16" s="36" t="s">
        <v>50</v>
      </c>
      <c r="F16" s="80"/>
      <c r="G16" s="81"/>
    </row>
    <row r="17" spans="1:7" ht="17" x14ac:dyDescent="0.4">
      <c r="A17" s="10"/>
      <c r="B17" s="71" t="s">
        <v>51</v>
      </c>
      <c r="C17" s="82"/>
      <c r="D17" s="4">
        <f>(('1. Labor'!$F$19)/52.149)/40</f>
        <v>80.692774549847542</v>
      </c>
      <c r="E17" s="80">
        <v>0</v>
      </c>
      <c r="F17" s="80" t="s">
        <v>42</v>
      </c>
      <c r="G17" s="84">
        <f t="shared" ref="G17:G21" si="0">D17*E17</f>
        <v>0</v>
      </c>
    </row>
    <row r="18" spans="1:7" ht="17" x14ac:dyDescent="0.4">
      <c r="A18" s="10"/>
      <c r="B18" s="71" t="s">
        <v>52</v>
      </c>
      <c r="C18" s="82"/>
      <c r="D18" s="4">
        <f>(('1. Labor'!$F$19)/52.149)/40</f>
        <v>80.692774549847542</v>
      </c>
      <c r="E18" s="110">
        <v>0</v>
      </c>
      <c r="F18" s="80" t="s">
        <v>42</v>
      </c>
      <c r="G18" s="84">
        <f t="shared" si="0"/>
        <v>0</v>
      </c>
    </row>
    <row r="19" spans="1:7" ht="17" x14ac:dyDescent="0.4">
      <c r="A19" s="10"/>
      <c r="B19" s="71" t="s">
        <v>53</v>
      </c>
      <c r="C19" s="82"/>
      <c r="D19" s="4">
        <f>(('1. Labor'!$H$11)/52.149)/40</f>
        <v>59.334215421196951</v>
      </c>
      <c r="E19" s="80">
        <f>IF('1. Labor'!$G$11&gt;0,16,0)</f>
        <v>16</v>
      </c>
      <c r="F19" s="80" t="s">
        <v>42</v>
      </c>
      <c r="G19" s="84">
        <f t="shared" si="0"/>
        <v>949.34744673915122</v>
      </c>
    </row>
    <row r="20" spans="1:7" ht="17" x14ac:dyDescent="0.4">
      <c r="A20" s="10"/>
      <c r="B20" s="71" t="s">
        <v>54</v>
      </c>
      <c r="C20" s="82"/>
      <c r="D20" s="4">
        <f>(('1. Labor'!$H$12)/52.149)/40</f>
        <v>59.334215421196951</v>
      </c>
      <c r="E20" s="80">
        <f>IF('1. Labor'!$G$12&gt;0,16,0)</f>
        <v>16</v>
      </c>
      <c r="F20" s="80" t="s">
        <v>42</v>
      </c>
      <c r="G20" s="84">
        <f t="shared" si="0"/>
        <v>949.34744673915122</v>
      </c>
    </row>
    <row r="21" spans="1:7" ht="17" x14ac:dyDescent="0.4">
      <c r="A21" s="10"/>
      <c r="B21" s="71" t="s">
        <v>55</v>
      </c>
      <c r="C21" s="82"/>
      <c r="D21" s="4">
        <f>(('1. Labor'!$H$19)/52.149)/40</f>
        <v>161.38554909969508</v>
      </c>
      <c r="E21" s="80">
        <f>IF('1. Labor'!$G$19&gt;0,8,0)</f>
        <v>8</v>
      </c>
      <c r="F21" s="80" t="s">
        <v>42</v>
      </c>
      <c r="G21" s="84">
        <f t="shared" si="0"/>
        <v>1291.0843927975607</v>
      </c>
    </row>
    <row r="22" spans="1:7" ht="17" x14ac:dyDescent="0.4">
      <c r="A22" s="10"/>
      <c r="B22" s="71"/>
      <c r="C22" s="82"/>
      <c r="D22" s="4"/>
      <c r="E22" s="80"/>
      <c r="F22" s="80"/>
      <c r="G22" s="84"/>
    </row>
    <row r="23" spans="1:7" ht="18.5" x14ac:dyDescent="0.45">
      <c r="A23" s="10"/>
      <c r="B23" s="69" t="s">
        <v>5</v>
      </c>
      <c r="C23" s="82"/>
      <c r="D23" s="1"/>
      <c r="E23" s="1"/>
      <c r="F23" s="80"/>
      <c r="G23" s="81">
        <f>SUM(G24:G26,G29:G32)</f>
        <v>2640.1980574891177</v>
      </c>
    </row>
    <row r="24" spans="1:7" ht="17" x14ac:dyDescent="0.4">
      <c r="A24" s="10"/>
      <c r="B24" s="71" t="s">
        <v>46</v>
      </c>
      <c r="C24" s="79"/>
      <c r="D24" s="4">
        <f>AVERAGE(122,204,122,245,169,133)*2</f>
        <v>331.66666666666669</v>
      </c>
      <c r="E24" s="89">
        <v>1</v>
      </c>
      <c r="F24" s="80" t="s">
        <v>42</v>
      </c>
      <c r="G24" s="84">
        <f>D24*E24</f>
        <v>331.66666666666669</v>
      </c>
    </row>
    <row r="25" spans="1:7" ht="17" x14ac:dyDescent="0.4">
      <c r="A25" s="10"/>
      <c r="B25" s="71" t="s">
        <v>47</v>
      </c>
      <c r="C25" s="79"/>
      <c r="D25" s="4">
        <f>AVERAGE(173,198,185,198,173,160)</f>
        <v>181.16666666666666</v>
      </c>
      <c r="E25" s="89">
        <v>1</v>
      </c>
      <c r="F25" s="80" t="s">
        <v>42</v>
      </c>
      <c r="G25" s="84">
        <f>D25*E25</f>
        <v>181.16666666666666</v>
      </c>
    </row>
    <row r="26" spans="1:7" ht="17" x14ac:dyDescent="0.4">
      <c r="A26" s="10"/>
      <c r="B26" s="71" t="s">
        <v>48</v>
      </c>
      <c r="C26" s="79"/>
      <c r="D26" s="4">
        <f>AVERAGE(324,270,270,100,320,178)</f>
        <v>243.66666666666666</v>
      </c>
      <c r="E26" s="89">
        <v>1</v>
      </c>
      <c r="F26" s="80" t="s">
        <v>42</v>
      </c>
      <c r="G26" s="84">
        <f>D26*E26</f>
        <v>243.66666666666666</v>
      </c>
    </row>
    <row r="27" spans="1:7" ht="18.5" x14ac:dyDescent="0.45">
      <c r="A27" s="10"/>
      <c r="B27" s="69"/>
      <c r="C27" s="82"/>
      <c r="D27" s="45"/>
      <c r="E27" s="90"/>
      <c r="F27" s="80"/>
      <c r="G27" s="81"/>
    </row>
    <row r="28" spans="1:7" ht="18.5" x14ac:dyDescent="0.45">
      <c r="A28" s="10"/>
      <c r="B28" s="69"/>
      <c r="C28" s="82"/>
      <c r="D28" s="35" t="s">
        <v>49</v>
      </c>
      <c r="E28" s="36" t="s">
        <v>50</v>
      </c>
      <c r="F28" s="80"/>
      <c r="G28" s="81"/>
    </row>
    <row r="29" spans="1:7" ht="17" x14ac:dyDescent="0.4">
      <c r="A29" s="10"/>
      <c r="B29" s="71" t="s">
        <v>53</v>
      </c>
      <c r="C29" s="82"/>
      <c r="D29" s="4">
        <f>(('1. Labor'!$H$11)/52.149)/40</f>
        <v>59.334215421196951</v>
      </c>
      <c r="E29" s="80">
        <f>IF('1. Labor'!$G$11&gt;0,4,0)</f>
        <v>4</v>
      </c>
      <c r="F29" s="80" t="s">
        <v>42</v>
      </c>
      <c r="G29" s="84">
        <f t="shared" ref="G29:G31" si="1">D29*E29</f>
        <v>237.33686168478781</v>
      </c>
    </row>
    <row r="30" spans="1:7" ht="17" x14ac:dyDescent="0.4">
      <c r="A30" s="10"/>
      <c r="B30" s="71" t="s">
        <v>54</v>
      </c>
      <c r="C30" s="82"/>
      <c r="D30" s="4">
        <f>(('1. Labor'!$H$12)/52.149)/40</f>
        <v>59.334215421196951</v>
      </c>
      <c r="E30" s="80">
        <f>IF('1. Labor'!$G$12&gt;0,4,0)</f>
        <v>4</v>
      </c>
      <c r="F30" s="80" t="s">
        <v>42</v>
      </c>
      <c r="G30" s="84">
        <f t="shared" si="1"/>
        <v>237.33686168478781</v>
      </c>
    </row>
    <row r="31" spans="1:7" ht="17" x14ac:dyDescent="0.4">
      <c r="A31" s="10"/>
      <c r="B31" s="71" t="s">
        <v>55</v>
      </c>
      <c r="C31" s="82"/>
      <c r="D31" s="4">
        <f>((('1. Labor'!$H$19)/52.149)/40)/2</f>
        <v>80.692774549847542</v>
      </c>
      <c r="E31" s="80">
        <f>IF('1. Labor'!$G$19&gt;0,6,0)</f>
        <v>6</v>
      </c>
      <c r="F31" s="80" t="s">
        <v>42</v>
      </c>
      <c r="G31" s="84">
        <f t="shared" si="1"/>
        <v>484.15664729908525</v>
      </c>
    </row>
    <row r="32" spans="1:7" ht="17" x14ac:dyDescent="0.4">
      <c r="A32" s="10"/>
      <c r="B32" s="71" t="s">
        <v>56</v>
      </c>
      <c r="C32" s="82"/>
      <c r="D32" s="4">
        <f>IF('1. Labor'!$D$5="Physician",('1. Labor'!$H$13/52.149)/40,IF('1. Labor'!$D$5="Physician Assistant",('1. Labor'!$H$15/52.149)/40,IF('1. Labor'!$D$5="Nurse Practioner",('1. Labor'!$H$16/52.149)/40,"$0")))</f>
        <v>462.43384341022841</v>
      </c>
      <c r="E32" s="80">
        <f>IF('1. Labor'!D7&gt;0,2,0)</f>
        <v>2</v>
      </c>
      <c r="F32" s="80" t="s">
        <v>42</v>
      </c>
      <c r="G32" s="84">
        <f>IF($D$32="","Select provider in Labor tab",$D$32*$E$32)</f>
        <v>924.86768682045681</v>
      </c>
    </row>
    <row r="33" spans="1:13" ht="17" x14ac:dyDescent="0.4">
      <c r="A33" s="10"/>
      <c r="B33" s="71"/>
      <c r="C33" s="82"/>
      <c r="D33" s="4"/>
      <c r="E33" s="80"/>
      <c r="F33" s="80"/>
      <c r="G33" s="84"/>
    </row>
    <row r="34" spans="1:13" ht="18.5" x14ac:dyDescent="0.45">
      <c r="A34" s="10"/>
      <c r="B34" s="91" t="s">
        <v>57</v>
      </c>
      <c r="C34" s="92"/>
      <c r="D34" s="4"/>
      <c r="E34" s="80"/>
      <c r="F34" s="80"/>
      <c r="G34" s="81">
        <f>SUM(G37)</f>
        <v>29.667107710598476</v>
      </c>
    </row>
    <row r="35" spans="1:13" ht="18.5" x14ac:dyDescent="0.45">
      <c r="A35" s="10"/>
      <c r="B35" s="72"/>
      <c r="C35" s="92"/>
      <c r="D35" s="4"/>
      <c r="E35" s="80"/>
      <c r="F35" s="80"/>
      <c r="G35" s="81"/>
    </row>
    <row r="36" spans="1:13" ht="18.5" x14ac:dyDescent="0.45">
      <c r="A36" s="10"/>
      <c r="B36" s="91"/>
      <c r="C36" s="1"/>
      <c r="D36" s="35" t="s">
        <v>49</v>
      </c>
      <c r="E36" s="36" t="s">
        <v>50</v>
      </c>
      <c r="F36" s="1"/>
      <c r="G36" s="70"/>
    </row>
    <row r="37" spans="1:13" ht="18.5" x14ac:dyDescent="0.45">
      <c r="A37" s="10"/>
      <c r="B37" s="72" t="s">
        <v>58</v>
      </c>
      <c r="C37" s="92"/>
      <c r="D37" s="4">
        <f>(('1. Labor'!$H$11)/52.149)/40</f>
        <v>59.334215421196951</v>
      </c>
      <c r="E37" s="80">
        <f>IF('1. Labor'!$G$11&gt;0,0.5,0)</f>
        <v>0.5</v>
      </c>
      <c r="F37" s="80" t="s">
        <v>42</v>
      </c>
      <c r="G37" s="84">
        <f t="shared" ref="G37" si="2">D37*E37</f>
        <v>29.667107710598476</v>
      </c>
    </row>
    <row r="38" spans="1:13" ht="17" x14ac:dyDescent="0.4">
      <c r="A38" s="10"/>
      <c r="B38" s="94"/>
      <c r="C38" s="95"/>
      <c r="D38" s="96"/>
      <c r="E38" s="97"/>
      <c r="F38" s="97"/>
      <c r="G38" s="98"/>
    </row>
    <row r="39" spans="1:13" ht="21" x14ac:dyDescent="0.5">
      <c r="A39" s="10"/>
      <c r="B39" s="99" t="s">
        <v>59</v>
      </c>
      <c r="C39" s="100"/>
      <c r="D39" s="101"/>
      <c r="E39" s="102"/>
      <c r="F39" s="102"/>
      <c r="G39" s="103">
        <f>SUM(G42,G45)</f>
        <v>70446.350572398311</v>
      </c>
    </row>
    <row r="40" spans="1:13" x14ac:dyDescent="0.35">
      <c r="A40" s="10"/>
      <c r="B40" s="75"/>
      <c r="C40" s="1"/>
      <c r="D40" s="3"/>
      <c r="E40" s="3"/>
      <c r="F40" s="3"/>
      <c r="G40" s="70"/>
      <c r="L40" s="192"/>
      <c r="M40" s="192"/>
    </row>
    <row r="41" spans="1:13" ht="18.5" x14ac:dyDescent="0.45">
      <c r="A41" s="10"/>
      <c r="B41" s="69" t="s">
        <v>40</v>
      </c>
      <c r="C41" s="79"/>
      <c r="D41" s="76" t="s">
        <v>60</v>
      </c>
      <c r="E41" s="77" t="s">
        <v>37</v>
      </c>
      <c r="F41" s="77" t="s">
        <v>61</v>
      </c>
      <c r="G41" s="81">
        <f>G42</f>
        <v>45384</v>
      </c>
      <c r="L41" s="192"/>
      <c r="M41" s="192"/>
    </row>
    <row r="42" spans="1:13" ht="17" x14ac:dyDescent="0.4">
      <c r="A42" s="10"/>
      <c r="B42" s="71" t="s">
        <v>62</v>
      </c>
      <c r="C42" s="82"/>
      <c r="D42" s="60">
        <f>100*37.82</f>
        <v>3782</v>
      </c>
      <c r="E42" s="83">
        <f>'1. Labor'!$G$11</f>
        <v>1</v>
      </c>
      <c r="F42" s="80">
        <v>12</v>
      </c>
      <c r="G42" s="84">
        <f>D42*E42*F42</f>
        <v>45384</v>
      </c>
      <c r="K42" s="48"/>
      <c r="L42" s="192"/>
      <c r="M42" s="192"/>
    </row>
    <row r="43" spans="1:13" ht="18.5" x14ac:dyDescent="0.45">
      <c r="A43" s="10"/>
      <c r="B43" s="72"/>
      <c r="C43" s="92"/>
      <c r="D43" s="4"/>
      <c r="E43" s="80"/>
      <c r="F43" s="80"/>
      <c r="G43" s="84"/>
      <c r="L43" s="192"/>
      <c r="M43" s="192"/>
    </row>
    <row r="44" spans="1:13" ht="18.5" x14ac:dyDescent="0.45">
      <c r="A44" s="10"/>
      <c r="B44" s="72"/>
      <c r="C44" s="92"/>
      <c r="D44" s="4"/>
      <c r="E44" s="80"/>
      <c r="F44" s="80"/>
      <c r="G44" s="84"/>
      <c r="L44" s="192"/>
      <c r="M44" s="192"/>
    </row>
    <row r="45" spans="1:13" ht="18.5" x14ac:dyDescent="0.45">
      <c r="A45" s="10"/>
      <c r="B45" s="69" t="s">
        <v>9</v>
      </c>
      <c r="C45" s="92"/>
      <c r="D45" s="4"/>
      <c r="E45" s="80"/>
      <c r="F45" s="80"/>
      <c r="G45" s="189">
        <f>SUM(G47,G51)</f>
        <v>25062.350572398318</v>
      </c>
    </row>
    <row r="46" spans="1:13" ht="18.5" x14ac:dyDescent="0.45">
      <c r="A46" s="10"/>
      <c r="B46" s="69"/>
      <c r="C46" s="92"/>
      <c r="D46" s="35" t="s">
        <v>49</v>
      </c>
      <c r="E46" s="36" t="s">
        <v>63</v>
      </c>
      <c r="F46" s="105"/>
      <c r="G46" s="190"/>
    </row>
    <row r="47" spans="1:13" ht="18.5" x14ac:dyDescent="0.45">
      <c r="A47" s="10"/>
      <c r="B47" s="73" t="s">
        <v>64</v>
      </c>
      <c r="C47" s="92"/>
      <c r="D47" s="45"/>
      <c r="E47" s="90"/>
      <c r="F47" s="105"/>
      <c r="G47" s="190">
        <f>SUM(G48:G50)</f>
        <v>5696.0846804349076</v>
      </c>
    </row>
    <row r="48" spans="1:13" ht="18.5" x14ac:dyDescent="0.45">
      <c r="A48" s="10"/>
      <c r="B48" s="72" t="s">
        <v>65</v>
      </c>
      <c r="C48" s="92"/>
      <c r="D48" s="4">
        <f>(('1. Labor'!$H$11)/52.149)/40</f>
        <v>59.334215421196951</v>
      </c>
      <c r="E48" s="80">
        <f>IF('1. Labor'!$G$11&gt;0,4,0)</f>
        <v>4</v>
      </c>
      <c r="F48" s="80">
        <v>12</v>
      </c>
      <c r="G48" s="191">
        <f>D48*E48*F48</f>
        <v>2848.0423402174538</v>
      </c>
    </row>
    <row r="49" spans="1:9" ht="18.5" x14ac:dyDescent="0.45">
      <c r="A49" s="10"/>
      <c r="B49" s="72" t="s">
        <v>66</v>
      </c>
      <c r="C49" s="92"/>
      <c r="D49" s="4">
        <f>(('1. Labor'!$H$11)/52.149)/40</f>
        <v>59.334215421196951</v>
      </c>
      <c r="E49" s="80">
        <f>IF('1. Labor'!$G$11&gt;0,4,0)</f>
        <v>4</v>
      </c>
      <c r="F49" s="80">
        <v>12</v>
      </c>
      <c r="G49" s="191">
        <f t="shared" ref="G49:G50" si="3">D49*E49*F49</f>
        <v>2848.0423402174538</v>
      </c>
    </row>
    <row r="50" spans="1:9" ht="18.5" x14ac:dyDescent="0.45">
      <c r="A50" s="10"/>
      <c r="B50" s="72" t="s">
        <v>67</v>
      </c>
      <c r="C50" s="92"/>
      <c r="D50" s="4">
        <f>(('1. Labor'!$H$11)/52.149)/40</f>
        <v>59.334215421196951</v>
      </c>
      <c r="E50" s="111">
        <v>0</v>
      </c>
      <c r="F50" s="80">
        <v>12</v>
      </c>
      <c r="G50" s="191">
        <f t="shared" si="3"/>
        <v>0</v>
      </c>
    </row>
    <row r="51" spans="1:9" ht="18.5" x14ac:dyDescent="0.45">
      <c r="A51" s="10"/>
      <c r="B51" s="73" t="s">
        <v>68</v>
      </c>
      <c r="C51" s="92"/>
      <c r="D51" s="4"/>
      <c r="E51" s="111"/>
      <c r="F51" s="80"/>
      <c r="G51" s="190">
        <f>SUM(G52:G54)</f>
        <v>19366.265891963409</v>
      </c>
    </row>
    <row r="52" spans="1:9" ht="18.5" x14ac:dyDescent="0.45">
      <c r="A52" s="10"/>
      <c r="B52" s="72" t="s">
        <v>65</v>
      </c>
      <c r="C52" s="92"/>
      <c r="D52" s="4">
        <f>(('1. Labor'!$H$19)/52.149)/40</f>
        <v>161.38554909969508</v>
      </c>
      <c r="E52" s="80">
        <f>IF('1. Labor'!$G$19&gt;0,4,0)</f>
        <v>4</v>
      </c>
      <c r="F52" s="80">
        <v>12</v>
      </c>
      <c r="G52" s="191">
        <f>D52*E52*F52</f>
        <v>7746.506356785364</v>
      </c>
    </row>
    <row r="53" spans="1:9" ht="18.5" x14ac:dyDescent="0.45">
      <c r="A53" s="10"/>
      <c r="B53" s="72" t="s">
        <v>69</v>
      </c>
      <c r="C53" s="92"/>
      <c r="D53" s="4">
        <f>(('1. Labor'!$H$19)/52.149)/40</f>
        <v>161.38554909969508</v>
      </c>
      <c r="E53" s="80">
        <f>IF('1. Labor'!$G$19&gt;0,2,0)</f>
        <v>2</v>
      </c>
      <c r="F53" s="80">
        <v>12</v>
      </c>
      <c r="G53" s="191">
        <f t="shared" ref="G53:G54" si="4">D53*E53*F53</f>
        <v>3873.253178392682</v>
      </c>
    </row>
    <row r="54" spans="1:9" ht="18.5" x14ac:dyDescent="0.45">
      <c r="A54" s="10"/>
      <c r="B54" s="72" t="s">
        <v>67</v>
      </c>
      <c r="C54" s="92"/>
      <c r="D54" s="4">
        <f>(('1. Labor'!$H$19)/52.149)/40</f>
        <v>161.38554909969508</v>
      </c>
      <c r="E54" s="80">
        <f>IF('1. Labor'!$G$19&gt;0,4,0)</f>
        <v>4</v>
      </c>
      <c r="F54" s="80">
        <v>12</v>
      </c>
      <c r="G54" s="191">
        <f t="shared" si="4"/>
        <v>7746.506356785364</v>
      </c>
    </row>
    <row r="55" spans="1:9" x14ac:dyDescent="0.35">
      <c r="A55" s="10"/>
      <c r="B55" s="75"/>
      <c r="C55" s="1"/>
      <c r="D55" s="106"/>
      <c r="E55" s="3"/>
      <c r="F55" s="3"/>
      <c r="G55" s="70"/>
    </row>
    <row r="56" spans="1:9" x14ac:dyDescent="0.35">
      <c r="A56" s="10"/>
      <c r="B56" s="62" t="s">
        <v>70</v>
      </c>
      <c r="C56" s="63"/>
      <c r="D56" s="74"/>
      <c r="E56" s="74"/>
      <c r="F56" s="74"/>
      <c r="G56" s="64"/>
    </row>
    <row r="57" spans="1:9" x14ac:dyDescent="0.35">
      <c r="A57" s="10"/>
    </row>
    <row r="58" spans="1:9" x14ac:dyDescent="0.35">
      <c r="A58" s="10"/>
    </row>
    <row r="59" spans="1:9" x14ac:dyDescent="0.35">
      <c r="A59" s="10"/>
    </row>
    <row r="60" spans="1:9" x14ac:dyDescent="0.35">
      <c r="A60" s="10"/>
    </row>
    <row r="61" spans="1:9" x14ac:dyDescent="0.35">
      <c r="A61" s="10"/>
    </row>
    <row r="62" spans="1:9" x14ac:dyDescent="0.35">
      <c r="A62" s="10"/>
      <c r="I62"/>
    </row>
    <row r="63" spans="1:9" x14ac:dyDescent="0.35">
      <c r="A63" s="10"/>
    </row>
    <row r="64" spans="1:9" x14ac:dyDescent="0.35">
      <c r="A64" s="10"/>
    </row>
    <row r="65" spans="1:13" x14ac:dyDescent="0.35">
      <c r="A65" s="10"/>
    </row>
    <row r="66" spans="1:13" x14ac:dyDescent="0.35">
      <c r="A66" s="10"/>
    </row>
    <row r="67" spans="1:13" x14ac:dyDescent="0.35">
      <c r="A67" s="10"/>
    </row>
    <row r="68" spans="1:13" x14ac:dyDescent="0.35">
      <c r="A68" s="10"/>
    </row>
    <row r="69" spans="1:13" x14ac:dyDescent="0.35">
      <c r="A69" s="10"/>
    </row>
    <row r="70" spans="1:13" x14ac:dyDescent="0.35">
      <c r="A70" s="10"/>
    </row>
    <row r="71" spans="1:13" x14ac:dyDescent="0.35">
      <c r="A71" s="10"/>
      <c r="M71" s="1"/>
    </row>
    <row r="72" spans="1:13" x14ac:dyDescent="0.35">
      <c r="A72" s="10"/>
    </row>
    <row r="73" spans="1:13" x14ac:dyDescent="0.35">
      <c r="A73" s="10"/>
    </row>
    <row r="74" spans="1:13" x14ac:dyDescent="0.35">
      <c r="A74" s="10"/>
    </row>
    <row r="75" spans="1:13" x14ac:dyDescent="0.35">
      <c r="A75" s="10"/>
    </row>
    <row r="76" spans="1:13" x14ac:dyDescent="0.35">
      <c r="A76" s="10"/>
    </row>
    <row r="77" spans="1:13" x14ac:dyDescent="0.35">
      <c r="A77" s="10"/>
    </row>
    <row r="78" spans="1:13" x14ac:dyDescent="0.35">
      <c r="A78" s="10"/>
    </row>
    <row r="79" spans="1:13" x14ac:dyDescent="0.35">
      <c r="A79" s="10"/>
    </row>
    <row r="80" spans="1:13" x14ac:dyDescent="0.35">
      <c r="A80" s="1"/>
    </row>
    <row r="81" spans="1:1" x14ac:dyDescent="0.35">
      <c r="A81" s="1"/>
    </row>
  </sheetData>
  <pageMargins left="0.7" right="0.7" top="0.75" bottom="0.75" header="0.3" footer="0.3"/>
  <pageSetup orientation="portrait" r:id="rId1"/>
  <ignoredErrors>
    <ignoredError sqref="G32 G5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4391B-3E7A-4702-AA43-1E1F69ABE1D5}">
  <dimension ref="A2:N129"/>
  <sheetViews>
    <sheetView topLeftCell="A3" zoomScale="85" zoomScaleNormal="85" workbookViewId="0">
      <selection activeCell="B12" sqref="B12"/>
    </sheetView>
  </sheetViews>
  <sheetFormatPr defaultColWidth="8.81640625" defaultRowHeight="14.5" x14ac:dyDescent="0.35"/>
  <cols>
    <col min="1" max="1" width="2.1796875" style="1" customWidth="1"/>
    <col min="2" max="2" width="70.7265625" bestFit="1" customWidth="1"/>
    <col min="3" max="3" width="2.453125" customWidth="1"/>
    <col min="4" max="4" width="16" bestFit="1" customWidth="1"/>
    <col min="5" max="5" width="2.453125" customWidth="1"/>
    <col min="6" max="6" width="15" style="2" customWidth="1"/>
    <col min="7" max="7" width="10.7265625" style="2" customWidth="1"/>
    <col min="8" max="8" width="12" style="2" customWidth="1"/>
    <col min="9" max="9" width="3.26953125" style="2" customWidth="1"/>
    <col min="10" max="10" width="11.7265625" bestFit="1" customWidth="1"/>
    <col min="11" max="11" width="12.7265625" style="1" customWidth="1"/>
    <col min="12" max="12" width="8.81640625" style="1"/>
  </cols>
  <sheetData>
    <row r="2" spans="1:13" ht="21" x14ac:dyDescent="0.5">
      <c r="A2" s="75"/>
      <c r="B2" s="171" t="s">
        <v>71</v>
      </c>
      <c r="C2" s="143"/>
      <c r="D2" s="143"/>
      <c r="E2" s="143"/>
      <c r="F2" s="144"/>
      <c r="G2" s="144"/>
      <c r="H2" s="144"/>
      <c r="I2" s="144"/>
      <c r="J2" s="145"/>
      <c r="K2" s="170">
        <f>K25</f>
        <v>159229.35069869689</v>
      </c>
    </row>
    <row r="3" spans="1:13" ht="18.5" x14ac:dyDescent="0.45">
      <c r="A3" s="75"/>
      <c r="B3" s="112"/>
      <c r="C3" s="146"/>
      <c r="D3" s="146"/>
      <c r="E3" s="146"/>
      <c r="F3" s="147"/>
      <c r="G3" s="147"/>
      <c r="H3" s="147"/>
      <c r="I3" s="147"/>
      <c r="J3" s="146"/>
      <c r="K3" s="70"/>
    </row>
    <row r="4" spans="1:13" ht="17" x14ac:dyDescent="0.4">
      <c r="A4" s="75"/>
      <c r="B4" s="113" t="s">
        <v>72</v>
      </c>
      <c r="C4" s="146"/>
      <c r="D4" s="135">
        <f>'1. Labor'!$D$7</f>
        <v>75</v>
      </c>
      <c r="E4" s="146"/>
      <c r="F4" s="147"/>
      <c r="G4" s="147"/>
      <c r="H4" s="147"/>
      <c r="I4" s="147"/>
      <c r="J4" s="146"/>
      <c r="K4" s="70"/>
    </row>
    <row r="5" spans="1:13" ht="17" x14ac:dyDescent="0.4">
      <c r="A5" s="75"/>
      <c r="B5" s="113" t="s">
        <v>73</v>
      </c>
      <c r="C5" s="146"/>
      <c r="D5" s="136">
        <f>(('1. Labor'!$H$11)/52.149)/40</f>
        <v>59.334215421196951</v>
      </c>
      <c r="E5" s="146"/>
      <c r="F5" s="147"/>
      <c r="G5" s="147"/>
      <c r="H5" s="147"/>
      <c r="I5" s="147"/>
      <c r="J5" s="146"/>
      <c r="K5" s="70"/>
    </row>
    <row r="6" spans="1:13" ht="17.5" thickBot="1" x14ac:dyDescent="0.45">
      <c r="A6" s="75"/>
      <c r="B6" s="113" t="s">
        <v>74</v>
      </c>
      <c r="C6" s="146"/>
      <c r="D6" s="137">
        <f>IF('1. Labor'!$D$5="Physician",('1. Labor'!$F$13/52.149)/40,IF('1. Labor'!$D$5="Physician Assistant",('1. Labor'!$F$15/52.149)/40,IF('1. Labor'!$D$5="Nurse Practioner",('1. Labor'!$F$16/52.149)/40,IF('1. Labor'!$D$5="Pharmacist",('1. Labor'!$F$14/52.149)/40,""))))</f>
        <v>154.14461447007614</v>
      </c>
      <c r="E6" s="146"/>
      <c r="F6" s="147"/>
      <c r="G6" s="147"/>
      <c r="H6" s="147"/>
      <c r="I6" s="147"/>
      <c r="J6" s="146"/>
      <c r="K6" s="70"/>
    </row>
    <row r="7" spans="1:13" ht="17.5" thickBot="1" x14ac:dyDescent="0.45">
      <c r="A7" s="75"/>
      <c r="B7" s="113" t="s">
        <v>75</v>
      </c>
      <c r="C7" s="146"/>
      <c r="D7" s="187">
        <v>0.28999999999999998</v>
      </c>
      <c r="E7" s="146"/>
      <c r="F7" s="147"/>
      <c r="G7" s="147"/>
      <c r="H7" s="147"/>
      <c r="I7" s="147"/>
      <c r="J7" s="146"/>
      <c r="K7" s="70"/>
    </row>
    <row r="8" spans="1:13" ht="34.5" thickBot="1" x14ac:dyDescent="0.45">
      <c r="A8" s="75"/>
      <c r="B8" s="113" t="s">
        <v>76</v>
      </c>
      <c r="C8" s="146"/>
      <c r="D8" s="188">
        <v>3</v>
      </c>
      <c r="E8" s="146"/>
      <c r="F8" s="147"/>
      <c r="G8" s="147"/>
      <c r="H8" s="147"/>
      <c r="I8" s="147"/>
      <c r="J8" s="146"/>
      <c r="K8" s="70"/>
    </row>
    <row r="9" spans="1:13" ht="17" x14ac:dyDescent="0.4">
      <c r="A9" s="75"/>
      <c r="B9" s="113"/>
      <c r="C9" s="146"/>
      <c r="D9" s="148"/>
      <c r="E9" s="146"/>
      <c r="F9" s="147"/>
      <c r="G9" s="147"/>
      <c r="H9" s="147"/>
      <c r="I9" s="147"/>
      <c r="J9" s="146"/>
      <c r="K9" s="70"/>
    </row>
    <row r="10" spans="1:13" ht="17" x14ac:dyDescent="0.4">
      <c r="A10" s="75"/>
      <c r="B10" s="117" t="s">
        <v>77</v>
      </c>
      <c r="C10" s="149"/>
      <c r="D10" s="149"/>
      <c r="E10" s="149"/>
      <c r="F10" s="111"/>
      <c r="G10" s="111"/>
      <c r="H10" s="111"/>
      <c r="I10" s="111"/>
      <c r="J10" s="149"/>
      <c r="K10" s="70"/>
    </row>
    <row r="11" spans="1:13" ht="17" x14ac:dyDescent="0.4">
      <c r="A11" s="75"/>
      <c r="B11" s="115"/>
      <c r="C11" s="149"/>
      <c r="D11" s="197" t="s">
        <v>78</v>
      </c>
      <c r="E11" s="198"/>
      <c r="F11" s="198"/>
      <c r="G11" s="198"/>
      <c r="H11" s="199"/>
      <c r="I11" s="31"/>
      <c r="J11" s="200" t="s">
        <v>79</v>
      </c>
      <c r="K11" s="201"/>
    </row>
    <row r="12" spans="1:13" ht="34" x14ac:dyDescent="0.4">
      <c r="A12" s="75"/>
      <c r="B12" s="115"/>
      <c r="C12" s="149"/>
      <c r="D12" s="123"/>
      <c r="E12" s="149"/>
      <c r="F12" s="150" t="s">
        <v>80</v>
      </c>
      <c r="G12" s="150" t="s">
        <v>81</v>
      </c>
      <c r="H12" s="124" t="s">
        <v>82</v>
      </c>
      <c r="I12" s="151"/>
      <c r="J12" s="138" t="s">
        <v>83</v>
      </c>
      <c r="K12" s="152" t="s">
        <v>84</v>
      </c>
    </row>
    <row r="13" spans="1:13" ht="17" x14ac:dyDescent="0.4">
      <c r="A13" s="75"/>
      <c r="B13" s="116"/>
      <c r="C13" s="153"/>
      <c r="D13" s="125"/>
      <c r="E13" s="153"/>
      <c r="F13" s="111"/>
      <c r="G13" s="111"/>
      <c r="H13" s="126"/>
      <c r="I13" s="80"/>
      <c r="J13" s="139"/>
      <c r="K13" s="70"/>
      <c r="M13" s="59"/>
    </row>
    <row r="14" spans="1:13" ht="17" x14ac:dyDescent="0.4">
      <c r="A14" s="75"/>
      <c r="B14" s="116" t="s">
        <v>85</v>
      </c>
      <c r="C14" s="153"/>
      <c r="D14" s="125"/>
      <c r="E14" s="153"/>
      <c r="F14" s="111"/>
      <c r="G14" s="111"/>
      <c r="H14" s="126"/>
      <c r="I14" s="80"/>
      <c r="J14" s="139"/>
      <c r="K14" s="70"/>
      <c r="M14" s="59"/>
    </row>
    <row r="15" spans="1:13" ht="17" x14ac:dyDescent="0.4">
      <c r="A15" s="75"/>
      <c r="B15" s="115" t="s">
        <v>86</v>
      </c>
      <c r="C15" s="149"/>
      <c r="D15" s="127">
        <v>0.75</v>
      </c>
      <c r="E15" s="149"/>
      <c r="F15" s="111">
        <f>D15</f>
        <v>0.75</v>
      </c>
      <c r="G15" s="111">
        <v>0</v>
      </c>
      <c r="H15" s="128">
        <f>$D$4*(($D$7*$F$15)+((1-$D$7)*$G$15))</f>
        <v>16.312499999999996</v>
      </c>
      <c r="I15" s="80"/>
      <c r="J15" s="140">
        <f>H15*$D$6</f>
        <v>2514.4840235431166</v>
      </c>
      <c r="K15" s="160">
        <f>J15*12</f>
        <v>30173.808282517399</v>
      </c>
    </row>
    <row r="16" spans="1:13" ht="17" x14ac:dyDescent="0.4">
      <c r="A16" s="75"/>
      <c r="B16" s="115" t="s">
        <v>87</v>
      </c>
      <c r="C16" s="149"/>
      <c r="D16" s="127">
        <v>0.5</v>
      </c>
      <c r="E16" s="149"/>
      <c r="F16" s="111">
        <v>0</v>
      </c>
      <c r="G16" s="111">
        <f>D16*(D8/12)</f>
        <v>0.125</v>
      </c>
      <c r="H16" s="128">
        <f>($D$4*(($D$7*$F$16)+((1-$D$7)*$G$16)))</f>
        <v>6.65625</v>
      </c>
      <c r="I16" s="80"/>
      <c r="J16" s="140">
        <f>H16*$D$6</f>
        <v>1026.0250900664444</v>
      </c>
      <c r="K16" s="160">
        <f>J16*12</f>
        <v>12312.301080797333</v>
      </c>
    </row>
    <row r="17" spans="1:11" ht="17" x14ac:dyDescent="0.4">
      <c r="A17" s="75"/>
      <c r="B17" s="186" t="s">
        <v>88</v>
      </c>
      <c r="C17" s="149"/>
      <c r="D17" s="127"/>
      <c r="E17" s="149"/>
      <c r="F17" s="111"/>
      <c r="G17" s="111"/>
      <c r="H17" s="128"/>
      <c r="I17" s="80"/>
      <c r="J17" s="140"/>
      <c r="K17" s="160"/>
    </row>
    <row r="18" spans="1:11" ht="17" x14ac:dyDescent="0.4">
      <c r="A18" s="75"/>
      <c r="B18" s="115" t="s">
        <v>89</v>
      </c>
      <c r="C18" s="149"/>
      <c r="D18" s="127">
        <v>1</v>
      </c>
      <c r="E18" s="149"/>
      <c r="F18" s="111">
        <f>D18</f>
        <v>1</v>
      </c>
      <c r="G18" s="111">
        <v>0</v>
      </c>
      <c r="H18" s="128">
        <f>$D$4*(($D$7*$F$18)+((1-$D$7)*$G$18))</f>
        <v>21.75</v>
      </c>
      <c r="I18" s="80"/>
      <c r="J18" s="140">
        <f>H18*$D$5</f>
        <v>1290.5191854110337</v>
      </c>
      <c r="K18" s="160">
        <f t="shared" ref="K18:K23" si="0">J18*12</f>
        <v>15486.230224932406</v>
      </c>
    </row>
    <row r="19" spans="1:11" ht="17" x14ac:dyDescent="0.4">
      <c r="A19" s="75"/>
      <c r="B19" s="115" t="s">
        <v>90</v>
      </c>
      <c r="C19" s="149"/>
      <c r="D19" s="127">
        <v>2</v>
      </c>
      <c r="E19" s="149"/>
      <c r="F19" s="111">
        <f t="shared" ref="F19:F20" si="1">D19</f>
        <v>2</v>
      </c>
      <c r="G19" s="111">
        <v>0</v>
      </c>
      <c r="H19" s="128">
        <f>$D$4*(($D$7*$F$19)+((1-$D$7)*$G$19))</f>
        <v>43.5</v>
      </c>
      <c r="I19" s="80"/>
      <c r="J19" s="140">
        <f t="shared" ref="J19:J23" si="2">H19*$D$5</f>
        <v>2581.0383708220675</v>
      </c>
      <c r="K19" s="160">
        <f t="shared" si="0"/>
        <v>30972.460449864811</v>
      </c>
    </row>
    <row r="20" spans="1:11" ht="17" x14ac:dyDescent="0.4">
      <c r="A20" s="75"/>
      <c r="B20" s="115" t="s">
        <v>91</v>
      </c>
      <c r="C20" s="149"/>
      <c r="D20" s="127">
        <v>0.75</v>
      </c>
      <c r="E20" s="149"/>
      <c r="F20" s="111">
        <f t="shared" si="1"/>
        <v>0.75</v>
      </c>
      <c r="G20" s="111">
        <v>0</v>
      </c>
      <c r="H20" s="128">
        <f>$D$4*(($D$7*$F$20)+((1-$D$7)*$G$20))</f>
        <v>16.312499999999996</v>
      </c>
      <c r="I20" s="80"/>
      <c r="J20" s="140">
        <f t="shared" si="2"/>
        <v>967.88938905827501</v>
      </c>
      <c r="K20" s="160">
        <f t="shared" si="0"/>
        <v>11614.672668699301</v>
      </c>
    </row>
    <row r="21" spans="1:11" ht="17" x14ac:dyDescent="0.4">
      <c r="A21" s="75"/>
      <c r="B21" s="115" t="s">
        <v>92</v>
      </c>
      <c r="C21" s="149"/>
      <c r="D21" s="127">
        <v>2</v>
      </c>
      <c r="E21" s="149"/>
      <c r="F21" s="154">
        <f>(D21/43.25)*8</f>
        <v>0.36994219653179189</v>
      </c>
      <c r="G21" s="111">
        <v>0</v>
      </c>
      <c r="H21" s="128">
        <f>$D$4*(($D$7*$F$21)+((1-$D$7)*$G$21))</f>
        <v>8.0462427745664726</v>
      </c>
      <c r="I21" s="89"/>
      <c r="J21" s="140">
        <f t="shared" si="2"/>
        <v>477.41750211737656</v>
      </c>
      <c r="K21" s="160">
        <f t="shared" si="0"/>
        <v>5729.0100254085191</v>
      </c>
    </row>
    <row r="22" spans="1:11" ht="17" x14ac:dyDescent="0.4">
      <c r="A22" s="75"/>
      <c r="B22" s="115" t="s">
        <v>93</v>
      </c>
      <c r="C22" s="149"/>
      <c r="D22" s="127">
        <v>4.5</v>
      </c>
      <c r="E22" s="149"/>
      <c r="F22" s="154">
        <f>(D22/43.25)*8</f>
        <v>0.83236994219653182</v>
      </c>
      <c r="G22" s="111">
        <v>0</v>
      </c>
      <c r="H22" s="128">
        <f>$D$4*(($D$7*$F$22)+((1-$D$7)*$G$22))</f>
        <v>18.104046242774565</v>
      </c>
      <c r="I22" s="89"/>
      <c r="J22" s="140">
        <f t="shared" si="2"/>
        <v>1074.1893797640973</v>
      </c>
      <c r="K22" s="160">
        <f t="shared" si="0"/>
        <v>12890.272557169168</v>
      </c>
    </row>
    <row r="23" spans="1:11" ht="17" x14ac:dyDescent="0.4">
      <c r="A23" s="75"/>
      <c r="B23" s="115" t="s">
        <v>87</v>
      </c>
      <c r="C23" s="149"/>
      <c r="D23" s="127">
        <v>0.75</v>
      </c>
      <c r="E23" s="149"/>
      <c r="F23" s="111">
        <f>D23</f>
        <v>0.75</v>
      </c>
      <c r="G23" s="111">
        <f>D23</f>
        <v>0.75</v>
      </c>
      <c r="H23" s="128">
        <f>$D$4*(($D$7*$F$23)+((1-$D$7)*$G$23))</f>
        <v>56.25</v>
      </c>
      <c r="I23" s="80"/>
      <c r="J23" s="140">
        <f t="shared" si="2"/>
        <v>3337.5496174423283</v>
      </c>
      <c r="K23" s="160">
        <f t="shared" si="0"/>
        <v>40050.595409307942</v>
      </c>
    </row>
    <row r="24" spans="1:11" ht="17" x14ac:dyDescent="0.4">
      <c r="A24" s="75"/>
      <c r="B24" s="115"/>
      <c r="C24" s="149"/>
      <c r="D24" s="123"/>
      <c r="E24" s="149"/>
      <c r="F24" s="111"/>
      <c r="G24" s="111"/>
      <c r="H24" s="129"/>
      <c r="I24" s="80"/>
      <c r="J24" s="140"/>
      <c r="K24" s="159"/>
    </row>
    <row r="25" spans="1:11" ht="17" x14ac:dyDescent="0.4">
      <c r="A25" s="75"/>
      <c r="B25" s="115" t="s">
        <v>39</v>
      </c>
      <c r="C25" s="149"/>
      <c r="D25" s="130"/>
      <c r="E25" s="131"/>
      <c r="F25" s="132">
        <f>SUM(F15:F23)</f>
        <v>6.452312138728324</v>
      </c>
      <c r="G25" s="133">
        <f>SUM(G15:G23)</f>
        <v>0.875</v>
      </c>
      <c r="H25" s="134">
        <f>SUM(H15:H23)</f>
        <v>186.93153901734104</v>
      </c>
      <c r="I25" s="89"/>
      <c r="J25" s="141">
        <f>SUM(J15:J23)</f>
        <v>13269.112558224737</v>
      </c>
      <c r="K25" s="158">
        <f>SUM(K15:K23)</f>
        <v>159229.35069869689</v>
      </c>
    </row>
    <row r="26" spans="1:11" ht="17" x14ac:dyDescent="0.4">
      <c r="A26" s="75"/>
      <c r="B26" s="115"/>
      <c r="C26" s="149"/>
      <c r="D26" s="149"/>
      <c r="E26" s="149"/>
      <c r="F26" s="154"/>
      <c r="G26" s="111"/>
      <c r="H26" s="89"/>
      <c r="I26" s="89"/>
      <c r="J26" s="161"/>
      <c r="K26" s="162"/>
    </row>
    <row r="27" spans="1:11" ht="17" x14ac:dyDescent="0.4">
      <c r="A27" s="75"/>
      <c r="B27" s="202" t="s">
        <v>94</v>
      </c>
      <c r="C27" s="203"/>
      <c r="D27" s="204"/>
      <c r="E27" s="149"/>
      <c r="F27" s="154"/>
      <c r="G27" s="111"/>
      <c r="H27" s="89"/>
      <c r="I27" s="89"/>
      <c r="J27" s="155"/>
      <c r="K27" s="156"/>
    </row>
    <row r="28" spans="1:11" ht="17" x14ac:dyDescent="0.4">
      <c r="A28" s="75"/>
      <c r="B28" s="179" t="s">
        <v>95</v>
      </c>
      <c r="C28" s="180"/>
      <c r="D28" s="181">
        <f>F25+(G25*11)</f>
        <v>16.077312138728324</v>
      </c>
      <c r="E28" s="149"/>
      <c r="F28" s="154"/>
      <c r="G28" s="154"/>
      <c r="H28" s="154"/>
      <c r="I28" s="111"/>
      <c r="J28" s="89"/>
      <c r="K28" s="70"/>
    </row>
    <row r="29" spans="1:11" ht="17" x14ac:dyDescent="0.4">
      <c r="A29" s="75"/>
      <c r="B29" s="115" t="s">
        <v>96</v>
      </c>
      <c r="C29" s="149"/>
      <c r="D29" s="185">
        <f>G25*12</f>
        <v>10.5</v>
      </c>
      <c r="E29" s="149"/>
      <c r="F29" s="154"/>
      <c r="G29" s="154"/>
      <c r="H29" s="154"/>
      <c r="I29" s="111"/>
      <c r="J29" s="89"/>
      <c r="K29" s="70"/>
    </row>
    <row r="30" spans="1:11" ht="17" x14ac:dyDescent="0.4">
      <c r="A30" s="75"/>
      <c r="B30" s="115" t="s">
        <v>97</v>
      </c>
      <c r="C30" s="149"/>
      <c r="D30" s="185">
        <f>H25*12-D31</f>
        <v>1967.5534682080925</v>
      </c>
      <c r="E30" s="149"/>
      <c r="F30" s="154"/>
      <c r="G30" s="154"/>
      <c r="H30" s="154"/>
      <c r="I30" s="111"/>
      <c r="J30" s="89"/>
      <c r="K30" s="70"/>
    </row>
    <row r="31" spans="1:11" ht="17" x14ac:dyDescent="0.4">
      <c r="A31" s="75"/>
      <c r="B31" s="182" t="s">
        <v>98</v>
      </c>
      <c r="C31" s="183"/>
      <c r="D31" s="184">
        <f>(H15+H16)*12</f>
        <v>275.62499999999994</v>
      </c>
      <c r="E31" s="149"/>
      <c r="F31" s="154"/>
      <c r="G31" s="154"/>
      <c r="H31" s="154"/>
      <c r="I31" s="111"/>
      <c r="J31" s="89"/>
      <c r="K31" s="70"/>
    </row>
    <row r="32" spans="1:11" x14ac:dyDescent="0.35">
      <c r="A32" s="75"/>
      <c r="B32" s="163"/>
      <c r="C32" s="164"/>
      <c r="D32" s="164"/>
      <c r="E32" s="164"/>
      <c r="F32" s="165"/>
      <c r="G32" s="165"/>
      <c r="H32" s="165"/>
      <c r="I32" s="166"/>
      <c r="J32" s="167"/>
      <c r="K32" s="120"/>
    </row>
    <row r="33" spans="1:11" x14ac:dyDescent="0.35">
      <c r="A33" s="75"/>
      <c r="B33" s="118" t="s">
        <v>70</v>
      </c>
      <c r="C33" s="119"/>
      <c r="D33" s="119"/>
      <c r="E33" s="119"/>
      <c r="F33" s="168"/>
      <c r="G33" s="168"/>
      <c r="H33" s="168"/>
      <c r="I33" s="119"/>
      <c r="J33" s="119"/>
      <c r="K33" s="169"/>
    </row>
    <row r="34" spans="1:11" x14ac:dyDescent="0.35">
      <c r="B34" s="1"/>
      <c r="C34" s="1"/>
      <c r="D34" s="1"/>
      <c r="E34" s="1"/>
      <c r="F34" s="3"/>
      <c r="G34" s="3"/>
      <c r="H34" s="3"/>
      <c r="I34" s="3"/>
      <c r="J34" s="1"/>
    </row>
    <row r="35" spans="1:11" x14ac:dyDescent="0.35">
      <c r="B35" s="1"/>
      <c r="C35" s="1"/>
      <c r="D35" s="1"/>
      <c r="E35" s="1"/>
      <c r="F35" s="3"/>
      <c r="G35" s="3"/>
      <c r="H35" s="3"/>
      <c r="I35" s="3"/>
      <c r="J35" s="1"/>
    </row>
    <row r="36" spans="1:11" x14ac:dyDescent="0.35">
      <c r="F36" s="1"/>
      <c r="G36" s="3"/>
      <c r="H36" s="3"/>
      <c r="I36" s="3"/>
      <c r="J36" s="1"/>
    </row>
    <row r="37" spans="1:11" x14ac:dyDescent="0.35">
      <c r="E37" s="1"/>
      <c r="F37"/>
      <c r="K37"/>
    </row>
    <row r="38" spans="1:11" x14ac:dyDescent="0.35">
      <c r="E38" s="1"/>
      <c r="K38"/>
    </row>
    <row r="39" spans="1:11" x14ac:dyDescent="0.35">
      <c r="E39" s="1"/>
      <c r="K39"/>
    </row>
    <row r="40" spans="1:11" x14ac:dyDescent="0.35">
      <c r="E40" s="1"/>
      <c r="K40"/>
    </row>
    <row r="41" spans="1:11" x14ac:dyDescent="0.35">
      <c r="B41" s="1"/>
      <c r="C41" s="1"/>
      <c r="D41" s="1"/>
      <c r="E41" s="1"/>
      <c r="K41"/>
    </row>
    <row r="42" spans="1:11" x14ac:dyDescent="0.35">
      <c r="K42"/>
    </row>
    <row r="43" spans="1:11" x14ac:dyDescent="0.35">
      <c r="K43"/>
    </row>
    <row r="44" spans="1:11" x14ac:dyDescent="0.35">
      <c r="K44"/>
    </row>
    <row r="45" spans="1:11" x14ac:dyDescent="0.35">
      <c r="K45" s="114"/>
    </row>
    <row r="46" spans="1:11" x14ac:dyDescent="0.35">
      <c r="K46"/>
    </row>
    <row r="47" spans="1:11" x14ac:dyDescent="0.35">
      <c r="K47"/>
    </row>
    <row r="48" spans="1:11" x14ac:dyDescent="0.35">
      <c r="K48"/>
    </row>
    <row r="49" spans="11:11" x14ac:dyDescent="0.35">
      <c r="K49"/>
    </row>
    <row r="50" spans="11:11" x14ac:dyDescent="0.35">
      <c r="K50"/>
    </row>
    <row r="51" spans="11:11" x14ac:dyDescent="0.35">
      <c r="K51"/>
    </row>
    <row r="52" spans="11:11" x14ac:dyDescent="0.35">
      <c r="K52"/>
    </row>
    <row r="53" spans="11:11" x14ac:dyDescent="0.35">
      <c r="K53"/>
    </row>
    <row r="54" spans="11:11" x14ac:dyDescent="0.35">
      <c r="K54"/>
    </row>
    <row r="55" spans="11:11" x14ac:dyDescent="0.35">
      <c r="K55"/>
    </row>
    <row r="56" spans="11:11" x14ac:dyDescent="0.35">
      <c r="K56"/>
    </row>
    <row r="57" spans="11:11" x14ac:dyDescent="0.35">
      <c r="K57"/>
    </row>
    <row r="58" spans="11:11" x14ac:dyDescent="0.35">
      <c r="K58"/>
    </row>
    <row r="59" spans="11:11" x14ac:dyDescent="0.35">
      <c r="K59"/>
    </row>
    <row r="60" spans="11:11" x14ac:dyDescent="0.35">
      <c r="K60"/>
    </row>
    <row r="61" spans="11:11" x14ac:dyDescent="0.35">
      <c r="K61"/>
    </row>
    <row r="62" spans="11:11" x14ac:dyDescent="0.35">
      <c r="K62"/>
    </row>
    <row r="63" spans="11:11" x14ac:dyDescent="0.35">
      <c r="K63"/>
    </row>
    <row r="64" spans="11:11" x14ac:dyDescent="0.35">
      <c r="K64"/>
    </row>
    <row r="65" spans="11:12" x14ac:dyDescent="0.35">
      <c r="K65"/>
    </row>
    <row r="66" spans="11:12" x14ac:dyDescent="0.35">
      <c r="K66"/>
    </row>
    <row r="67" spans="11:12" x14ac:dyDescent="0.35">
      <c r="K67"/>
    </row>
    <row r="68" spans="11:12" x14ac:dyDescent="0.35">
      <c r="K68"/>
    </row>
    <row r="69" spans="11:12" x14ac:dyDescent="0.35">
      <c r="K69"/>
    </row>
    <row r="70" spans="11:12" x14ac:dyDescent="0.35">
      <c r="K70"/>
    </row>
    <row r="71" spans="11:12" x14ac:dyDescent="0.35">
      <c r="K71"/>
    </row>
    <row r="72" spans="11:12" x14ac:dyDescent="0.35">
      <c r="K72"/>
    </row>
    <row r="73" spans="11:12" x14ac:dyDescent="0.35">
      <c r="K73"/>
    </row>
    <row r="74" spans="11:12" x14ac:dyDescent="0.35">
      <c r="K74"/>
    </row>
    <row r="75" spans="11:12" x14ac:dyDescent="0.35">
      <c r="K75"/>
      <c r="L75" s="142"/>
    </row>
    <row r="120" spans="11:11" x14ac:dyDescent="0.35">
      <c r="K120"/>
    </row>
    <row r="129" spans="14:14" x14ac:dyDescent="0.35">
      <c r="N129" s="1"/>
    </row>
  </sheetData>
  <mergeCells count="3">
    <mergeCell ref="D11:H11"/>
    <mergeCell ref="J11:K11"/>
    <mergeCell ref="B27:D27"/>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4"/>
  <sheetViews>
    <sheetView topLeftCell="A10" zoomScale="85" zoomScaleNormal="85" workbookViewId="0">
      <selection activeCell="G24" sqref="G24"/>
    </sheetView>
  </sheetViews>
  <sheetFormatPr defaultColWidth="8.81640625" defaultRowHeight="18.5" x14ac:dyDescent="0.35"/>
  <cols>
    <col min="1" max="1" width="2.81640625" style="1" customWidth="1"/>
    <col min="2" max="2" width="40.453125" customWidth="1"/>
    <col min="3" max="3" width="4" style="37" customWidth="1"/>
    <col min="4" max="4" width="34.453125" style="15" customWidth="1"/>
    <col min="5" max="5" width="1.26953125" customWidth="1"/>
    <col min="6" max="6" width="3.81640625" style="1" customWidth="1"/>
    <col min="8" max="8" width="0" hidden="1" customWidth="1"/>
    <col min="16" max="16" width="0" hidden="1" customWidth="1"/>
  </cols>
  <sheetData>
    <row r="1" spans="2:5" s="1" customFormat="1" ht="11.25" customHeight="1" x14ac:dyDescent="0.35">
      <c r="D1" s="172"/>
    </row>
    <row r="2" spans="2:5" ht="21" x14ac:dyDescent="0.5">
      <c r="B2" s="173" t="s">
        <v>0</v>
      </c>
      <c r="C2" s="174"/>
      <c r="D2" s="175" t="s">
        <v>1</v>
      </c>
      <c r="E2" s="157"/>
    </row>
    <row r="3" spans="2:5" ht="21" x14ac:dyDescent="0.5">
      <c r="B3" s="176" t="s">
        <v>2</v>
      </c>
      <c r="C3" s="12"/>
      <c r="D3" s="177">
        <f>IF(SUM(D5:D11)&gt;0,SUM(D5:D11),"---")</f>
        <v>9211.9777848089125</v>
      </c>
      <c r="E3" s="178"/>
    </row>
    <row r="4" spans="2:5" x14ac:dyDescent="0.35">
      <c r="B4" s="10"/>
      <c r="C4" s="11"/>
      <c r="D4" s="41"/>
      <c r="E4" s="11"/>
    </row>
    <row r="5" spans="2:5" x14ac:dyDescent="0.45">
      <c r="B5" s="19" t="s">
        <v>3</v>
      </c>
      <c r="C5" s="11"/>
      <c r="D5" s="42">
        <f>IF('2. Start-Up &amp; Time-Dep.'!G5&gt;0,'2. Start-Up &amp; Time-Dep.'!G5,"---")</f>
        <v>805</v>
      </c>
      <c r="E5" s="11"/>
    </row>
    <row r="6" spans="2:5" x14ac:dyDescent="0.35">
      <c r="B6" s="10"/>
      <c r="C6" s="11"/>
      <c r="D6" s="41"/>
      <c r="E6" s="11"/>
    </row>
    <row r="7" spans="2:5" x14ac:dyDescent="0.45">
      <c r="B7" s="19" t="s">
        <v>4</v>
      </c>
      <c r="C7" s="39"/>
      <c r="D7" s="42">
        <f>IF('2. Start-Up &amp; Time-Dep.'!G11&gt;0,'2. Start-Up &amp; Time-Dep.'!G11,"---")</f>
        <v>5737.1126196091973</v>
      </c>
      <c r="E7" s="11"/>
    </row>
    <row r="8" spans="2:5" x14ac:dyDescent="0.45">
      <c r="B8" s="19"/>
      <c r="C8" s="39"/>
      <c r="D8" s="42"/>
      <c r="E8" s="11"/>
    </row>
    <row r="9" spans="2:5" x14ac:dyDescent="0.45">
      <c r="B9" s="19" t="s">
        <v>5</v>
      </c>
      <c r="C9" s="39"/>
      <c r="D9" s="42">
        <f>IF('2. Start-Up &amp; Time-Dep.'!G23&gt;0,'2. Start-Up &amp; Time-Dep.'!G23,"---")</f>
        <v>2640.1980574891177</v>
      </c>
      <c r="E9" s="11"/>
    </row>
    <row r="10" spans="2:5" x14ac:dyDescent="0.45">
      <c r="B10" s="19"/>
      <c r="C10" s="39"/>
      <c r="D10" s="42"/>
      <c r="E10" s="11"/>
    </row>
    <row r="11" spans="2:5" x14ac:dyDescent="0.45">
      <c r="B11" s="21" t="s">
        <v>6</v>
      </c>
      <c r="C11" s="11"/>
      <c r="D11" s="42">
        <f>IF('2. Start-Up &amp; Time-Dep.'!G34&gt;0,'2. Start-Up &amp; Time-Dep.'!G34,"---")</f>
        <v>29.667107710598476</v>
      </c>
      <c r="E11" s="11"/>
    </row>
    <row r="12" spans="2:5" ht="19" thickBot="1" x14ac:dyDescent="0.5">
      <c r="B12" s="20"/>
      <c r="C12" s="39"/>
      <c r="D12" s="42"/>
      <c r="E12" s="11"/>
    </row>
    <row r="13" spans="2:5" ht="21.5" thickBot="1" x14ac:dyDescent="0.55000000000000004">
      <c r="B13" s="16" t="s">
        <v>7</v>
      </c>
      <c r="C13" s="38"/>
      <c r="D13" s="40">
        <f>IF(SUM(D15:D17)&gt;0,SUM(D15:D17),"---")</f>
        <v>70446.350572398311</v>
      </c>
      <c r="E13" s="38"/>
    </row>
    <row r="14" spans="2:5" x14ac:dyDescent="0.45">
      <c r="B14" s="21"/>
      <c r="C14" s="11"/>
      <c r="D14" s="42"/>
      <c r="E14" s="11"/>
    </row>
    <row r="15" spans="2:5" x14ac:dyDescent="0.45">
      <c r="B15" s="21" t="s">
        <v>8</v>
      </c>
      <c r="C15" s="11"/>
      <c r="D15" s="42">
        <f>IF('2. Start-Up &amp; Time-Dep.'!G41&gt;0,'2. Start-Up &amp; Time-Dep.'!G41,"---")</f>
        <v>45384</v>
      </c>
      <c r="E15" s="11"/>
    </row>
    <row r="16" spans="2:5" x14ac:dyDescent="0.45">
      <c r="B16" s="19"/>
      <c r="C16" s="11"/>
      <c r="D16" s="42"/>
      <c r="E16" s="11"/>
    </row>
    <row r="17" spans="2:8" x14ac:dyDescent="0.45">
      <c r="B17" s="19" t="s">
        <v>9</v>
      </c>
      <c r="C17" s="11"/>
      <c r="D17" s="42">
        <f>IF('2. Start-Up &amp; Time-Dep.'!G45&gt;0,'2. Start-Up &amp; Time-Dep.'!G45,"---")</f>
        <v>25062.350572398318</v>
      </c>
      <c r="E17" s="11"/>
    </row>
    <row r="18" spans="2:8" ht="19" thickBot="1" x14ac:dyDescent="0.4">
      <c r="B18" s="10"/>
      <c r="C18" s="11"/>
      <c r="D18" s="42"/>
      <c r="E18" s="11"/>
    </row>
    <row r="19" spans="2:8" ht="21.5" thickBot="1" x14ac:dyDescent="0.55000000000000004">
      <c r="B19" s="16" t="s">
        <v>10</v>
      </c>
      <c r="C19" s="38"/>
      <c r="D19" s="109">
        <f>IF(D21&gt;0,D21,"---")</f>
        <v>159229.35069869689</v>
      </c>
      <c r="E19" s="38"/>
    </row>
    <row r="20" spans="2:8" x14ac:dyDescent="0.35">
      <c r="B20" s="10"/>
      <c r="C20" s="11"/>
      <c r="D20" s="52"/>
      <c r="E20" s="9"/>
    </row>
    <row r="21" spans="2:8" x14ac:dyDescent="0.45">
      <c r="B21" s="19" t="s">
        <v>11</v>
      </c>
      <c r="C21" s="11"/>
      <c r="D21" s="107">
        <f>IF('3. Variable'!K25&gt;0,'3. Variable'!K25,"---")</f>
        <v>159229.35069869689</v>
      </c>
      <c r="E21" s="11"/>
    </row>
    <row r="22" spans="2:8" ht="19" thickBot="1" x14ac:dyDescent="0.4">
      <c r="B22" s="22"/>
      <c r="C22" s="12"/>
      <c r="D22" s="43"/>
      <c r="E22" s="12"/>
    </row>
    <row r="23" spans="2:8" x14ac:dyDescent="0.35">
      <c r="B23" s="10"/>
      <c r="C23" s="11"/>
      <c r="D23" s="42"/>
      <c r="E23" s="11"/>
    </row>
    <row r="24" spans="2:8" ht="21" x14ac:dyDescent="0.5">
      <c r="B24" s="17" t="s">
        <v>12</v>
      </c>
      <c r="C24" s="11"/>
      <c r="D24" s="53">
        <f>IF(D19="---","---",SUM(D3+D13+D19))</f>
        <v>238887.6790559041</v>
      </c>
      <c r="E24" s="11"/>
      <c r="H24" s="108"/>
    </row>
    <row r="25" spans="2:8" x14ac:dyDescent="0.35">
      <c r="B25" s="23"/>
      <c r="C25" s="11"/>
      <c r="D25" s="41"/>
      <c r="E25" s="11"/>
    </row>
    <row r="26" spans="2:8" ht="21" x14ac:dyDescent="0.5">
      <c r="B26" s="17" t="s">
        <v>13</v>
      </c>
      <c r="D26" s="53">
        <f>IF(D19="---","---",SUM(D13+D19))</f>
        <v>229675.7012710952</v>
      </c>
      <c r="E26" s="11"/>
    </row>
    <row r="27" spans="2:8" ht="19" thickBot="1" x14ac:dyDescent="0.4">
      <c r="B27" s="22"/>
      <c r="C27" s="12"/>
      <c r="D27" s="43"/>
      <c r="E27" s="12"/>
    </row>
    <row r="28" spans="2:8" ht="21" x14ac:dyDescent="0.5">
      <c r="B28" s="54" t="s">
        <v>14</v>
      </c>
      <c r="C28" s="9"/>
      <c r="D28" s="55"/>
      <c r="E28" s="9"/>
    </row>
    <row r="29" spans="2:8" ht="21" x14ac:dyDescent="0.5">
      <c r="B29" s="57" t="s">
        <v>12</v>
      </c>
      <c r="C29" s="11"/>
      <c r="D29" s="53">
        <f>IF(D24="---","---",D24/'1. Labor'!$D$7)</f>
        <v>3185.1690540787213</v>
      </c>
      <c r="E29" s="11"/>
    </row>
    <row r="30" spans="2:8" ht="21" x14ac:dyDescent="0.5">
      <c r="B30" s="58" t="s">
        <v>13</v>
      </c>
      <c r="C30" s="12"/>
      <c r="D30" s="56">
        <f>IF(D26="---","---",D26/'1. Labor'!$D$7)</f>
        <v>3062.3426836146027</v>
      </c>
      <c r="E30" s="12"/>
    </row>
    <row r="31" spans="2:8" x14ac:dyDescent="0.35">
      <c r="C31"/>
      <c r="E31" s="1"/>
    </row>
    <row r="32" spans="2:8" x14ac:dyDescent="0.35">
      <c r="C32"/>
      <c r="E32" s="1"/>
    </row>
    <row r="33" spans="3:6" x14ac:dyDescent="0.35">
      <c r="C33"/>
      <c r="E33" s="1"/>
    </row>
    <row r="34" spans="3:6" x14ac:dyDescent="0.35">
      <c r="C34"/>
      <c r="E34" s="46"/>
    </row>
    <row r="35" spans="3:6" x14ac:dyDescent="0.35">
      <c r="C35"/>
      <c r="E35" s="1"/>
    </row>
    <row r="36" spans="3:6" x14ac:dyDescent="0.35">
      <c r="C36"/>
      <c r="E36" s="1"/>
    </row>
    <row r="37" spans="3:6" x14ac:dyDescent="0.35">
      <c r="C37"/>
      <c r="E37" s="1"/>
    </row>
    <row r="38" spans="3:6" x14ac:dyDescent="0.35">
      <c r="C38"/>
      <c r="E38" s="1"/>
      <c r="F38"/>
    </row>
    <row r="39" spans="3:6" x14ac:dyDescent="0.35">
      <c r="C39"/>
      <c r="E39" s="1"/>
      <c r="F39"/>
    </row>
    <row r="40" spans="3:6" x14ac:dyDescent="0.35">
      <c r="C40"/>
      <c r="E40" s="1"/>
      <c r="F40"/>
    </row>
    <row r="41" spans="3:6" x14ac:dyDescent="0.35">
      <c r="C41"/>
      <c r="E41" s="1"/>
      <c r="F41"/>
    </row>
    <row r="42" spans="3:6" x14ac:dyDescent="0.35">
      <c r="C42"/>
      <c r="E42" s="1"/>
      <c r="F42"/>
    </row>
    <row r="43" spans="3:6" x14ac:dyDescent="0.35">
      <c r="C43"/>
      <c r="E43" s="1"/>
      <c r="F43"/>
    </row>
    <row r="44" spans="3:6" x14ac:dyDescent="0.35">
      <c r="C44"/>
      <c r="E44" s="1"/>
      <c r="F44"/>
    </row>
    <row r="45" spans="3:6" x14ac:dyDescent="0.35">
      <c r="C45"/>
      <c r="E45" s="1"/>
      <c r="F45"/>
    </row>
    <row r="46" spans="3:6" x14ac:dyDescent="0.35">
      <c r="C46"/>
      <c r="E46" s="1"/>
      <c r="F46"/>
    </row>
    <row r="47" spans="3:6" x14ac:dyDescent="0.35">
      <c r="C47"/>
      <c r="E47" s="1"/>
      <c r="F47"/>
    </row>
    <row r="48" spans="3:6" x14ac:dyDescent="0.35">
      <c r="C48"/>
      <c r="E48" s="1"/>
      <c r="F48"/>
    </row>
    <row r="49" spans="3:6" x14ac:dyDescent="0.35">
      <c r="C49"/>
      <c r="E49" s="1"/>
      <c r="F49"/>
    </row>
    <row r="50" spans="3:6" x14ac:dyDescent="0.35">
      <c r="C50"/>
      <c r="E50" s="1"/>
      <c r="F50"/>
    </row>
    <row r="51" spans="3:6" x14ac:dyDescent="0.35">
      <c r="C51"/>
      <c r="E51" s="1"/>
      <c r="F51"/>
    </row>
    <row r="52" spans="3:6" x14ac:dyDescent="0.35">
      <c r="C52"/>
      <c r="E52" s="1"/>
      <c r="F52"/>
    </row>
    <row r="53" spans="3:6" x14ac:dyDescent="0.35">
      <c r="C53"/>
      <c r="F53"/>
    </row>
    <row r="54" spans="3:6" x14ac:dyDescent="0.35">
      <c r="C54"/>
    </row>
    <row r="55" spans="3:6" x14ac:dyDescent="0.35">
      <c r="C55"/>
    </row>
    <row r="56" spans="3:6" x14ac:dyDescent="0.35">
      <c r="C56"/>
    </row>
    <row r="57" spans="3:6" x14ac:dyDescent="0.35">
      <c r="C57"/>
    </row>
    <row r="58" spans="3:6" x14ac:dyDescent="0.35">
      <c r="C58"/>
    </row>
    <row r="59" spans="3:6" x14ac:dyDescent="0.35">
      <c r="C59"/>
    </row>
    <row r="60" spans="3:6" x14ac:dyDescent="0.35">
      <c r="C60"/>
    </row>
    <row r="61" spans="3:6" x14ac:dyDescent="0.35">
      <c r="C61"/>
    </row>
    <row r="62" spans="3:6" x14ac:dyDescent="0.35">
      <c r="C62"/>
    </row>
    <row r="63" spans="3:6" x14ac:dyDescent="0.35">
      <c r="C63"/>
    </row>
    <row r="64" spans="3:6" x14ac:dyDescent="0.35">
      <c r="C64"/>
    </row>
    <row r="65" spans="3:3" x14ac:dyDescent="0.35">
      <c r="C65"/>
    </row>
    <row r="66" spans="3:3" x14ac:dyDescent="0.35">
      <c r="C66"/>
    </row>
    <row r="67" spans="3:3" x14ac:dyDescent="0.35">
      <c r="C67"/>
    </row>
    <row r="68" spans="3:3" x14ac:dyDescent="0.35">
      <c r="C68"/>
    </row>
    <row r="69" spans="3:3" x14ac:dyDescent="0.35">
      <c r="C69"/>
    </row>
    <row r="70" spans="3:3" x14ac:dyDescent="0.35">
      <c r="C70"/>
    </row>
    <row r="71" spans="3:3" x14ac:dyDescent="0.35">
      <c r="C71"/>
    </row>
    <row r="72" spans="3:3" x14ac:dyDescent="0.35">
      <c r="C72"/>
    </row>
    <row r="73" spans="3:3" x14ac:dyDescent="0.35">
      <c r="C73"/>
    </row>
    <row r="74" spans="3:3" x14ac:dyDescent="0.35">
      <c r="C74"/>
    </row>
    <row r="75" spans="3:3" x14ac:dyDescent="0.35">
      <c r="C75"/>
    </row>
    <row r="76" spans="3:3" x14ac:dyDescent="0.35">
      <c r="C76"/>
    </row>
    <row r="77" spans="3:3" x14ac:dyDescent="0.35">
      <c r="C77"/>
    </row>
    <row r="78" spans="3:3" x14ac:dyDescent="0.35">
      <c r="C78"/>
    </row>
    <row r="79" spans="3:3" x14ac:dyDescent="0.35">
      <c r="C79"/>
    </row>
    <row r="80" spans="3:3" x14ac:dyDescent="0.35">
      <c r="C80"/>
    </row>
    <row r="81" spans="3:3" x14ac:dyDescent="0.35">
      <c r="C81"/>
    </row>
    <row r="82" spans="3:3" x14ac:dyDescent="0.35">
      <c r="C82"/>
    </row>
    <row r="83" spans="3:3" x14ac:dyDescent="0.35">
      <c r="C83"/>
    </row>
    <row r="84" spans="3:3" x14ac:dyDescent="0.35">
      <c r="C84"/>
    </row>
    <row r="85" spans="3:3" x14ac:dyDescent="0.35">
      <c r="C85"/>
    </row>
    <row r="86" spans="3:3" x14ac:dyDescent="0.35">
      <c r="C86"/>
    </row>
    <row r="87" spans="3:3" x14ac:dyDescent="0.35">
      <c r="C87"/>
    </row>
    <row r="88" spans="3:3" x14ac:dyDescent="0.35">
      <c r="C88"/>
    </row>
    <row r="89" spans="3:3" x14ac:dyDescent="0.35">
      <c r="C89"/>
    </row>
    <row r="90" spans="3:3" x14ac:dyDescent="0.35">
      <c r="C90"/>
    </row>
    <row r="91" spans="3:3" x14ac:dyDescent="0.35">
      <c r="C91"/>
    </row>
    <row r="92" spans="3:3" x14ac:dyDescent="0.35">
      <c r="C92"/>
    </row>
    <row r="93" spans="3:3" x14ac:dyDescent="0.35">
      <c r="C93"/>
    </row>
    <row r="94" spans="3:3" x14ac:dyDescent="0.35">
      <c r="C94"/>
    </row>
    <row r="95" spans="3:3" x14ac:dyDescent="0.35">
      <c r="C95"/>
    </row>
    <row r="96" spans="3:3" x14ac:dyDescent="0.35">
      <c r="C96"/>
    </row>
    <row r="97" spans="3:3" x14ac:dyDescent="0.35">
      <c r="C97"/>
    </row>
    <row r="98" spans="3:3" x14ac:dyDescent="0.35">
      <c r="C98"/>
    </row>
    <row r="99" spans="3:3" x14ac:dyDescent="0.35">
      <c r="C99"/>
    </row>
    <row r="100" spans="3:3" x14ac:dyDescent="0.35">
      <c r="C100"/>
    </row>
    <row r="101" spans="3:3" x14ac:dyDescent="0.35">
      <c r="C101"/>
    </row>
    <row r="102" spans="3:3" x14ac:dyDescent="0.35">
      <c r="C102"/>
    </row>
    <row r="103" spans="3:3" x14ac:dyDescent="0.35">
      <c r="C103"/>
    </row>
    <row r="104" spans="3:3" x14ac:dyDescent="0.35">
      <c r="C104"/>
    </row>
    <row r="105" spans="3:3" x14ac:dyDescent="0.35">
      <c r="C105"/>
    </row>
    <row r="106" spans="3:3" x14ac:dyDescent="0.35">
      <c r="C106"/>
    </row>
    <row r="107" spans="3:3" x14ac:dyDescent="0.35">
      <c r="C107"/>
    </row>
    <row r="108" spans="3:3" x14ac:dyDescent="0.35">
      <c r="C108"/>
    </row>
    <row r="109" spans="3:3" x14ac:dyDescent="0.35">
      <c r="C109"/>
    </row>
    <row r="110" spans="3:3" x14ac:dyDescent="0.35">
      <c r="C110"/>
    </row>
    <row r="111" spans="3:3" x14ac:dyDescent="0.35">
      <c r="C111"/>
    </row>
    <row r="112" spans="3:3" x14ac:dyDescent="0.35">
      <c r="C112"/>
    </row>
    <row r="113" spans="3:3" x14ac:dyDescent="0.35">
      <c r="C113"/>
    </row>
    <row r="114" spans="3:3" x14ac:dyDescent="0.35">
      <c r="C114"/>
    </row>
    <row r="115" spans="3:3" x14ac:dyDescent="0.35">
      <c r="C115"/>
    </row>
    <row r="116" spans="3:3" x14ac:dyDescent="0.35">
      <c r="C116"/>
    </row>
    <row r="117" spans="3:3" x14ac:dyDescent="0.35">
      <c r="C117"/>
    </row>
    <row r="118" spans="3:3" x14ac:dyDescent="0.35">
      <c r="C118"/>
    </row>
    <row r="119" spans="3:3" x14ac:dyDescent="0.35">
      <c r="C119"/>
    </row>
    <row r="120" spans="3:3" x14ac:dyDescent="0.35">
      <c r="C120"/>
    </row>
    <row r="121" spans="3:3" x14ac:dyDescent="0.35">
      <c r="C121"/>
    </row>
    <row r="122" spans="3:3" x14ac:dyDescent="0.35">
      <c r="C122"/>
    </row>
    <row r="123" spans="3:3" x14ac:dyDescent="0.35">
      <c r="C123"/>
    </row>
    <row r="124" spans="3:3" x14ac:dyDescent="0.35">
      <c r="C124"/>
    </row>
    <row r="125" spans="3:3" x14ac:dyDescent="0.35">
      <c r="C125"/>
    </row>
    <row r="126" spans="3:3" x14ac:dyDescent="0.35">
      <c r="C126"/>
    </row>
    <row r="127" spans="3:3" x14ac:dyDescent="0.35">
      <c r="C127"/>
    </row>
    <row r="128" spans="3:3" x14ac:dyDescent="0.35">
      <c r="C128"/>
    </row>
    <row r="129" spans="3:3" x14ac:dyDescent="0.35">
      <c r="C129"/>
    </row>
    <row r="130" spans="3:3" x14ac:dyDescent="0.35">
      <c r="C130"/>
    </row>
    <row r="131" spans="3:3" x14ac:dyDescent="0.35">
      <c r="C131"/>
    </row>
    <row r="132" spans="3:3" x14ac:dyDescent="0.35">
      <c r="C132"/>
    </row>
    <row r="133" spans="3:3" x14ac:dyDescent="0.35">
      <c r="C133"/>
    </row>
    <row r="134" spans="3:3" x14ac:dyDescent="0.35">
      <c r="C134"/>
    </row>
    <row r="135" spans="3:3" x14ac:dyDescent="0.35">
      <c r="C135"/>
    </row>
    <row r="136" spans="3:3" x14ac:dyDescent="0.35">
      <c r="C136"/>
    </row>
    <row r="137" spans="3:3" x14ac:dyDescent="0.35">
      <c r="C137"/>
    </row>
    <row r="138" spans="3:3" x14ac:dyDescent="0.35">
      <c r="C138"/>
    </row>
    <row r="139" spans="3:3" x14ac:dyDescent="0.35">
      <c r="C139"/>
    </row>
    <row r="140" spans="3:3" x14ac:dyDescent="0.35">
      <c r="C140"/>
    </row>
    <row r="141" spans="3:3" x14ac:dyDescent="0.35">
      <c r="C141"/>
    </row>
    <row r="142" spans="3:3" x14ac:dyDescent="0.35">
      <c r="C142"/>
    </row>
    <row r="143" spans="3:3" x14ac:dyDescent="0.35">
      <c r="C143"/>
    </row>
    <row r="144" spans="3:3" x14ac:dyDescent="0.35">
      <c r="C144"/>
    </row>
    <row r="145" spans="3:3" x14ac:dyDescent="0.35">
      <c r="C145"/>
    </row>
    <row r="146" spans="3:3" x14ac:dyDescent="0.35">
      <c r="C146"/>
    </row>
    <row r="147" spans="3:3" x14ac:dyDescent="0.35">
      <c r="C147"/>
    </row>
    <row r="148" spans="3:3" x14ac:dyDescent="0.35">
      <c r="C148"/>
    </row>
    <row r="149" spans="3:3" x14ac:dyDescent="0.35">
      <c r="C149"/>
    </row>
    <row r="150" spans="3:3" x14ac:dyDescent="0.35">
      <c r="C150"/>
    </row>
    <row r="151" spans="3:3" x14ac:dyDescent="0.35">
      <c r="C151"/>
    </row>
    <row r="152" spans="3:3" x14ac:dyDescent="0.35">
      <c r="C152"/>
    </row>
    <row r="153" spans="3:3" x14ac:dyDescent="0.35">
      <c r="C153"/>
    </row>
    <row r="154" spans="3:3" x14ac:dyDescent="0.35">
      <c r="C154"/>
    </row>
    <row r="155" spans="3:3" x14ac:dyDescent="0.35">
      <c r="C155"/>
    </row>
    <row r="156" spans="3:3" x14ac:dyDescent="0.35">
      <c r="C156"/>
    </row>
    <row r="157" spans="3:3" x14ac:dyDescent="0.35">
      <c r="C157"/>
    </row>
    <row r="158" spans="3:3" x14ac:dyDescent="0.35">
      <c r="C158"/>
    </row>
    <row r="159" spans="3:3" x14ac:dyDescent="0.35">
      <c r="C159"/>
    </row>
    <row r="160" spans="3:3" x14ac:dyDescent="0.35">
      <c r="C160"/>
    </row>
    <row r="161" spans="3:3" x14ac:dyDescent="0.35">
      <c r="C161"/>
    </row>
    <row r="162" spans="3:3" x14ac:dyDescent="0.35">
      <c r="C162"/>
    </row>
    <row r="163" spans="3:3" x14ac:dyDescent="0.35">
      <c r="C163"/>
    </row>
    <row r="164" spans="3:3" x14ac:dyDescent="0.35">
      <c r="C16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52701fc-9841-43a5-a763-2e90c24f634b">
      <Terms xmlns="http://schemas.microsoft.com/office/infopath/2007/PartnerControls"/>
    </lcf76f155ced4ddcb4097134ff3c332f>
    <TaxCatchAll xmlns="d1df5d17-1d8f-4625-b4da-0c293f6f9bb7" xsi:nil="true"/>
    <SharedWithUsers xmlns="d1df5d17-1d8f-4625-b4da-0c293f6f9bb7">
      <UserInfo>
        <DisplayName>Philip Jeng</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7E3FF3B1307340A4AAB1D75B31B050" ma:contentTypeVersion="18" ma:contentTypeDescription="Create a new document." ma:contentTypeScope="" ma:versionID="b85dfe8689865103ca1f99f10ea025e8">
  <xsd:schema xmlns:xsd="http://www.w3.org/2001/XMLSchema" xmlns:xs="http://www.w3.org/2001/XMLSchema" xmlns:p="http://schemas.microsoft.com/office/2006/metadata/properties" xmlns:ns2="352701fc-9841-43a5-a763-2e90c24f634b" xmlns:ns3="d1df5d17-1d8f-4625-b4da-0c293f6f9bb7" targetNamespace="http://schemas.microsoft.com/office/2006/metadata/properties" ma:root="true" ma:fieldsID="002dc3261f8e8c0201c971661ee86306" ns2:_="" ns3:_="">
    <xsd:import namespace="352701fc-9841-43a5-a763-2e90c24f634b"/>
    <xsd:import namespace="d1df5d17-1d8f-4625-b4da-0c293f6f9bb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2701fc-9841-43a5-a763-2e90c24f63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639ff72-3dc9-4ee0-b413-752fc303058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df5d17-1d8f-4625-b4da-0c293f6f9bb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c068aca-04f4-4824-b2b9-faddeafc70cd}" ma:internalName="TaxCatchAll" ma:showField="CatchAllData" ma:web="d1df5d17-1d8f-4625-b4da-0c293f6f9b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461E99-450D-458B-AC2D-94A35EE180CA}">
  <ds:schemaRefs>
    <ds:schemaRef ds:uri="http://schemas.microsoft.com/sharepoint/v3/contenttype/forms"/>
  </ds:schemaRefs>
</ds:datastoreItem>
</file>

<file path=customXml/itemProps2.xml><?xml version="1.0" encoding="utf-8"?>
<ds:datastoreItem xmlns:ds="http://schemas.openxmlformats.org/officeDocument/2006/customXml" ds:itemID="{FD34CAD9-0D3B-4861-810C-6C553392027E}">
  <ds:schemaRefs>
    <ds:schemaRef ds:uri="http://schemas.microsoft.com/office/2006/metadata/properties"/>
    <ds:schemaRef ds:uri="http://schemas.microsoft.com/office/infopath/2007/PartnerControls"/>
    <ds:schemaRef ds:uri="352701fc-9841-43a5-a763-2e90c24f634b"/>
    <ds:schemaRef ds:uri="d1df5d17-1d8f-4625-b4da-0c293f6f9bb7"/>
  </ds:schemaRefs>
</ds:datastoreItem>
</file>

<file path=customXml/itemProps3.xml><?xml version="1.0" encoding="utf-8"?>
<ds:datastoreItem xmlns:ds="http://schemas.openxmlformats.org/officeDocument/2006/customXml" ds:itemID="{0ECC7782-852B-45A1-A72A-4924388FB1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2701fc-9841-43a5-a763-2e90c24f634b"/>
    <ds:schemaRef ds:uri="d1df5d17-1d8f-4625-b4da-0c293f6f9b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0. Instructions</vt:lpstr>
      <vt:lpstr>1. Labor</vt:lpstr>
      <vt:lpstr>2. Start-Up &amp; Time-Dep.</vt:lpstr>
      <vt:lpstr>3. Variable</vt:lpstr>
      <vt:lpstr>4. Dashboard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Danielle Ryan</dc:creator>
  <cp:keywords/>
  <dc:description/>
  <cp:lastModifiedBy>Philip Jeng</cp:lastModifiedBy>
  <cp:revision/>
  <dcterms:created xsi:type="dcterms:W3CDTF">2019-09-10T19:02:13Z</dcterms:created>
  <dcterms:modified xsi:type="dcterms:W3CDTF">2026-06-01T15:58:56Z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0x010100A87E3FF3B1307340A4AAB1D75B31B050</vt:lpwstr>
  </property>
  <property fmtid="{D5CDD505-2E9C-101B-9397-08002B2CF9AE}" pid="3" name="MediaServiceImageTags">
    <vt:lpwstr/>
  </property>
</Properties>
</file>